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César\Downloads\"/>
    </mc:Choice>
  </mc:AlternateContent>
  <xr:revisionPtr revIDLastSave="0" documentId="13_ncr:1_{97B8B995-C620-46F5-A4CB-916015AD4FEE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lanilha final" sheetId="1" r:id="rId1"/>
    <sheet name="Balizador de Quantidades" sheetId="3" r:id="rId2"/>
    <sheet name="Comp. BDI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0" localSheetId="2">#REF!</definedName>
    <definedName name="\0" localSheetId="0">#REF!</definedName>
    <definedName name="\0">#REF!</definedName>
    <definedName name="\a" localSheetId="2">#REF!</definedName>
    <definedName name="\a" localSheetId="0">#REF!</definedName>
    <definedName name="\a">#REF!</definedName>
    <definedName name="_______Ele200502" localSheetId="2">#REF!</definedName>
    <definedName name="_______Ele200502" localSheetId="0">#REF!</definedName>
    <definedName name="_______Ele200502">#REF!</definedName>
    <definedName name="_______Ele200609" localSheetId="2">#REF!</definedName>
    <definedName name="_______Ele200609" localSheetId="0">#REF!</definedName>
    <definedName name="_______Ele200609">#REF!</definedName>
    <definedName name="_______pv2" localSheetId="2">#REF!</definedName>
    <definedName name="_______pv2" localSheetId="0">#REF!</definedName>
    <definedName name="_______pv2">#REF!</definedName>
    <definedName name="_______pv3" localSheetId="2">#REF!</definedName>
    <definedName name="_______pv3" localSheetId="0">#REF!</definedName>
    <definedName name="_______pv3">#REF!</definedName>
    <definedName name="_______Ser200506" localSheetId="2">#REF!</definedName>
    <definedName name="_______Ser200506" localSheetId="0">#REF!</definedName>
    <definedName name="_______Ser200506">#REF!</definedName>
    <definedName name="_______Ser200705" localSheetId="2">#REF!</definedName>
    <definedName name="_______Ser200705" localSheetId="0">#REF!</definedName>
    <definedName name="_______Ser200705">#REF!</definedName>
    <definedName name="_______Ser200712" localSheetId="2">#REF!</definedName>
    <definedName name="_______Ser200712" localSheetId="0">#REF!</definedName>
    <definedName name="_______Ser200712">#REF!</definedName>
    <definedName name="_______Ser201104" localSheetId="2">#REF!</definedName>
    <definedName name="_______Ser201104" localSheetId="0">#REF!</definedName>
    <definedName name="_______Ser201104">#REF!</definedName>
    <definedName name="_______TR2" localSheetId="2">#REF!</definedName>
    <definedName name="_______TR2" localSheetId="0">#REF!</definedName>
    <definedName name="_______TR2">#REF!</definedName>
    <definedName name="_______TR5" localSheetId="2">#REF!</definedName>
    <definedName name="_______TR5" localSheetId="0">#REF!</definedName>
    <definedName name="_______TR5">#REF!</definedName>
    <definedName name="______Ele200502" localSheetId="2">#REF!</definedName>
    <definedName name="______Ele200502" localSheetId="0">#REF!</definedName>
    <definedName name="______Ele200502">#REF!</definedName>
    <definedName name="______Ele200609" localSheetId="2">#REF!</definedName>
    <definedName name="______Ele200609" localSheetId="0">#REF!</definedName>
    <definedName name="______Ele200609">#REF!</definedName>
    <definedName name="______pv2" localSheetId="2">#REF!</definedName>
    <definedName name="______pv2" localSheetId="0">#REF!</definedName>
    <definedName name="______pv2">#REF!</definedName>
    <definedName name="______pv3" localSheetId="2">#REF!</definedName>
    <definedName name="______pv3" localSheetId="0">#REF!</definedName>
    <definedName name="______pv3">#REF!</definedName>
    <definedName name="______Ser200506" localSheetId="2">#REF!</definedName>
    <definedName name="______Ser200506" localSheetId="0">#REF!</definedName>
    <definedName name="______Ser200506">#REF!</definedName>
    <definedName name="______Ser200705" localSheetId="2">#REF!</definedName>
    <definedName name="______Ser200705" localSheetId="0">#REF!</definedName>
    <definedName name="______Ser200705">#REF!</definedName>
    <definedName name="______Ser200712" localSheetId="2">#REF!</definedName>
    <definedName name="______Ser200712" localSheetId="0">#REF!</definedName>
    <definedName name="______Ser200712">#REF!</definedName>
    <definedName name="______Ser201104" localSheetId="2">#REF!</definedName>
    <definedName name="______Ser201104" localSheetId="0">#REF!</definedName>
    <definedName name="______Ser201104">#REF!</definedName>
    <definedName name="______TR2" localSheetId="2">#REF!</definedName>
    <definedName name="______TR2" localSheetId="0">#REF!</definedName>
    <definedName name="______TR2">#REF!</definedName>
    <definedName name="______TR5" localSheetId="2">#REF!</definedName>
    <definedName name="______TR5" localSheetId="0">#REF!</definedName>
    <definedName name="______TR5">#REF!</definedName>
    <definedName name="_____Ele200502" localSheetId="2">#REF!</definedName>
    <definedName name="_____Ele200502" localSheetId="0">#REF!</definedName>
    <definedName name="_____Ele200502">#REF!</definedName>
    <definedName name="_____Ele200609" localSheetId="2">#REF!</definedName>
    <definedName name="_____Ele200609" localSheetId="0">#REF!</definedName>
    <definedName name="_____Ele200609">#REF!</definedName>
    <definedName name="_____pv2" localSheetId="2">#REF!</definedName>
    <definedName name="_____pv2" localSheetId="0">#REF!</definedName>
    <definedName name="_____pv2">#REF!</definedName>
    <definedName name="_____pv3" localSheetId="2">#REF!</definedName>
    <definedName name="_____pv3" localSheetId="0">#REF!</definedName>
    <definedName name="_____pv3">#REF!</definedName>
    <definedName name="_____Ser200506" localSheetId="2">#REF!</definedName>
    <definedName name="_____Ser200506" localSheetId="0">#REF!</definedName>
    <definedName name="_____Ser200506">#REF!</definedName>
    <definedName name="_____Ser200705" localSheetId="2">#REF!</definedName>
    <definedName name="_____Ser200705" localSheetId="0">#REF!</definedName>
    <definedName name="_____Ser200705">#REF!</definedName>
    <definedName name="_____Ser200712" localSheetId="2">#REF!</definedName>
    <definedName name="_____Ser200712" localSheetId="0">#REF!</definedName>
    <definedName name="_____Ser200712">#REF!</definedName>
    <definedName name="_____Ser201104" localSheetId="2">#REF!</definedName>
    <definedName name="_____Ser201104" localSheetId="0">#REF!</definedName>
    <definedName name="_____Ser201104">#REF!</definedName>
    <definedName name="_____TR2" localSheetId="2">#REF!</definedName>
    <definedName name="_____TR2" localSheetId="0">#REF!</definedName>
    <definedName name="_____TR2">#REF!</definedName>
    <definedName name="_____TR5" localSheetId="2">#REF!</definedName>
    <definedName name="_____TR5" localSheetId="0">#REF!</definedName>
    <definedName name="_____TR5">#REF!</definedName>
    <definedName name="____Ele200502" localSheetId="2">#REF!</definedName>
    <definedName name="____Ele200502" localSheetId="0">#REF!</definedName>
    <definedName name="____Ele200502">#REF!</definedName>
    <definedName name="____Ele200609" localSheetId="2">#REF!</definedName>
    <definedName name="____Ele200609" localSheetId="0">#REF!</definedName>
    <definedName name="____Ele200609">#REF!</definedName>
    <definedName name="____pv2" localSheetId="2">#REF!</definedName>
    <definedName name="____pv2" localSheetId="0">#REF!</definedName>
    <definedName name="____pv2">#REF!</definedName>
    <definedName name="____pv3" localSheetId="2">#REF!</definedName>
    <definedName name="____pv3" localSheetId="0">#REF!</definedName>
    <definedName name="____pv3">#REF!</definedName>
    <definedName name="____Ser200506" localSheetId="2">#REF!</definedName>
    <definedName name="____Ser200506" localSheetId="0">#REF!</definedName>
    <definedName name="____Ser200506">#REF!</definedName>
    <definedName name="____Ser200705" localSheetId="2">#REF!</definedName>
    <definedName name="____Ser200705" localSheetId="0">#REF!</definedName>
    <definedName name="____Ser200705">#REF!</definedName>
    <definedName name="____Ser200712" localSheetId="2">#REF!</definedName>
    <definedName name="____Ser200712" localSheetId="0">#REF!</definedName>
    <definedName name="____Ser200712">#REF!</definedName>
    <definedName name="____Ser201104" localSheetId="2">#REF!</definedName>
    <definedName name="____Ser201104" localSheetId="0">#REF!</definedName>
    <definedName name="____Ser201104">#REF!</definedName>
    <definedName name="____TR2" localSheetId="2">#REF!</definedName>
    <definedName name="____TR2" localSheetId="0">#REF!</definedName>
    <definedName name="____TR2">#REF!</definedName>
    <definedName name="____TR5" localSheetId="2">#REF!</definedName>
    <definedName name="____TR5" localSheetId="0">#REF!</definedName>
    <definedName name="____TR5">#REF!</definedName>
    <definedName name="___Ele200502" localSheetId="2">#REF!</definedName>
    <definedName name="___Ele200502" localSheetId="0">#REF!</definedName>
    <definedName name="___Ele200502">#REF!</definedName>
    <definedName name="___Ele200609" localSheetId="2">#REF!</definedName>
    <definedName name="___Ele200609" localSheetId="0">#REF!</definedName>
    <definedName name="___Ele200609">#REF!</definedName>
    <definedName name="___pv2" localSheetId="2">#REF!</definedName>
    <definedName name="___pv2" localSheetId="0">#REF!</definedName>
    <definedName name="___pv2">#REF!</definedName>
    <definedName name="___pv3" localSheetId="2">#REF!</definedName>
    <definedName name="___pv3" localSheetId="0">#REF!</definedName>
    <definedName name="___pv3">#REF!</definedName>
    <definedName name="___REV5" localSheetId="2">#REF!</definedName>
    <definedName name="___REV5" localSheetId="0">#REF!</definedName>
    <definedName name="___REV5">#REF!</definedName>
    <definedName name="___Ser200506" localSheetId="2">#REF!</definedName>
    <definedName name="___Ser200506" localSheetId="0">#REF!</definedName>
    <definedName name="___Ser200506">#REF!</definedName>
    <definedName name="___Ser200705" localSheetId="2">#REF!</definedName>
    <definedName name="___Ser200705" localSheetId="0">#REF!</definedName>
    <definedName name="___Ser200705">#REF!</definedName>
    <definedName name="___Ser200712" localSheetId="2">#REF!</definedName>
    <definedName name="___Ser200712" localSheetId="0">#REF!</definedName>
    <definedName name="___Ser200712">#REF!</definedName>
    <definedName name="___Ser201104" localSheetId="2">#REF!</definedName>
    <definedName name="___Ser201104" localSheetId="0">#REF!</definedName>
    <definedName name="___Ser201104">#REF!</definedName>
    <definedName name="___TR2" localSheetId="2">#REF!</definedName>
    <definedName name="___TR2" localSheetId="0">#REF!</definedName>
    <definedName name="___TR2">#REF!</definedName>
    <definedName name="___TR5" localSheetId="2">#REF!</definedName>
    <definedName name="___TR5" localSheetId="0">#REF!</definedName>
    <definedName name="___TR5">#REF!</definedName>
    <definedName name="__Ele200502" localSheetId="2">#REF!</definedName>
    <definedName name="__Ele200502" localSheetId="0">#REF!</definedName>
    <definedName name="__Ele200502">#REF!</definedName>
    <definedName name="__Ele200609" localSheetId="2">#REF!</definedName>
    <definedName name="__Ele200609" localSheetId="0">#REF!</definedName>
    <definedName name="__Ele200609">#REF!</definedName>
    <definedName name="__pv2" localSheetId="2">#REF!</definedName>
    <definedName name="__pv2" localSheetId="0">#REF!</definedName>
    <definedName name="__pv2">#REF!</definedName>
    <definedName name="__pv3" localSheetId="2">#REF!</definedName>
    <definedName name="__pv3" localSheetId="0">#REF!</definedName>
    <definedName name="__pv3">#REF!</definedName>
    <definedName name="__REV5" localSheetId="2">#REF!</definedName>
    <definedName name="__REV5" localSheetId="0">#REF!</definedName>
    <definedName name="__REV5">#REF!</definedName>
    <definedName name="__Ser200506" localSheetId="2">#REF!</definedName>
    <definedName name="__Ser200506" localSheetId="0">#REF!</definedName>
    <definedName name="__Ser200506">#REF!</definedName>
    <definedName name="__Ser200705" localSheetId="2">#REF!</definedName>
    <definedName name="__Ser200705" localSheetId="0">#REF!</definedName>
    <definedName name="__Ser200705">#REF!</definedName>
    <definedName name="__Ser200712" localSheetId="2">#REF!</definedName>
    <definedName name="__Ser200712" localSheetId="0">#REF!</definedName>
    <definedName name="__Ser200712">#REF!</definedName>
    <definedName name="__Ser201104" localSheetId="2">#REF!</definedName>
    <definedName name="__Ser201104" localSheetId="0">#REF!</definedName>
    <definedName name="__Ser201104">#REF!</definedName>
    <definedName name="__TR2" localSheetId="2">#REF!</definedName>
    <definedName name="__TR2" localSheetId="0">#REF!</definedName>
    <definedName name="__TR2">#REF!</definedName>
    <definedName name="__TR5" localSheetId="2">#REF!</definedName>
    <definedName name="__TR5" localSheetId="0">#REF!</definedName>
    <definedName name="__TR5">#REF!</definedName>
    <definedName name="_Ele200502" localSheetId="2">#REF!</definedName>
    <definedName name="_Ele200502" localSheetId="0">#REF!</definedName>
    <definedName name="_Ele200502">#REF!</definedName>
    <definedName name="_Ele200609" localSheetId="2">#REF!</definedName>
    <definedName name="_Ele200609" localSheetId="0">#REF!</definedName>
    <definedName name="_Ele200609">#REF!</definedName>
    <definedName name="_pv2" localSheetId="2">#REF!</definedName>
    <definedName name="_pv2" localSheetId="0">#REF!</definedName>
    <definedName name="_pv2">#REF!</definedName>
    <definedName name="_pv3" localSheetId="2">#REF!</definedName>
    <definedName name="_pv3" localSheetId="0">#REF!</definedName>
    <definedName name="_pv3">#REF!</definedName>
    <definedName name="_REV5" localSheetId="2">#REF!</definedName>
    <definedName name="_REV5" localSheetId="0">#REF!</definedName>
    <definedName name="_REV5">#REF!</definedName>
    <definedName name="_Ser200506" localSheetId="2">#REF!</definedName>
    <definedName name="_Ser200506" localSheetId="0">#REF!</definedName>
    <definedName name="_Ser200506">#REF!</definedName>
    <definedName name="_Ser200705" localSheetId="2">#REF!</definedName>
    <definedName name="_Ser200705" localSheetId="0">#REF!</definedName>
    <definedName name="_Ser200705">#REF!</definedName>
    <definedName name="_Ser200712" localSheetId="2">#REF!</definedName>
    <definedName name="_Ser200712" localSheetId="0">#REF!</definedName>
    <definedName name="_Ser200712">#REF!</definedName>
    <definedName name="_Ser201104" localSheetId="2">#REF!</definedName>
    <definedName name="_Ser201104" localSheetId="0">#REF!</definedName>
    <definedName name="_Ser201104">#REF!</definedName>
    <definedName name="_TR2" localSheetId="2">#REF!</definedName>
    <definedName name="_TR2" localSheetId="0">#REF!</definedName>
    <definedName name="_TR2">#REF!</definedName>
    <definedName name="_TR5" localSheetId="2">#REF!</definedName>
    <definedName name="_TR5" localSheetId="0">#REF!</definedName>
    <definedName name="_TR5">#REF!</definedName>
    <definedName name="A" localSheetId="2">#REF!</definedName>
    <definedName name="A" localSheetId="0">#REF!</definedName>
    <definedName name="A">#REF!</definedName>
    <definedName name="A010160100">'[1]DADOS COLETATO'!$L$9</definedName>
    <definedName name="A010505000">'[1]DADOS COLETATO'!$L$10</definedName>
    <definedName name="A020200010">'[1]DADOS COLETATO'!$L$11</definedName>
    <definedName name="A020200080">'[1]DADOS COLETATO'!$L$12</definedName>
    <definedName name="A03.020.0851">'[1]DADOS COLETATO'!$L$23</definedName>
    <definedName name="A030130010">'[1]DADOS COLETATO'!$L$13</definedName>
    <definedName name="A030130011">'[1]DADOS COLETATO'!$L$14</definedName>
    <definedName name="A030160501">'[1]DADOS COLETATO'!$L$15</definedName>
    <definedName name="A030250100">'[1]DADOS COLETATO'!$L$16</definedName>
    <definedName name="A040050130">'[1]DADOS COLETATO'!$L$17</definedName>
    <definedName name="A040110511">'[1]DADOS COLETATO'!$L$18</definedName>
    <definedName name="A050150050">'[1]DADOS COLETATO'!$L$19</definedName>
    <definedName name="A050200140">'[1]DADOS COLETATO'!$L$20</definedName>
    <definedName name="A050210050">'[1]DADOS COLETATO'!$L$21</definedName>
    <definedName name="A050210100">'[1]DADOS COLETATO'!$L$22</definedName>
    <definedName name="A050210750">'[1]DADOS COLETATO'!$O$9</definedName>
    <definedName name="a06.004.0320">'[1]DADOS COLETATO'!$O$23</definedName>
    <definedName name="A060030500">'[1]DADOS COLETATO'!$O$10</definedName>
    <definedName name="A060040300">'[1]DADOS COLETATO'!$O$11</definedName>
    <definedName name="A060140120">'[1]DADOS COLETATO'!$O$12</definedName>
    <definedName name="A060160120">'[1]DADOS COLETATO'!$O$13</definedName>
    <definedName name="A060160410">'[1]DADOS COLETATO'!$O$14</definedName>
    <definedName name="A080010030">'[1]DADOS COLETATO'!$O$15</definedName>
    <definedName name="A080150100">'[1]DADOS COLETATO'!$O$16</definedName>
    <definedName name="A080270120">'[1]DADOS COLETATO'!$O$17</definedName>
    <definedName name="A150010310">'[1]DADOS COLETATO'!$O$18</definedName>
    <definedName name="A200040031">'[1]DADOS COLETATO'!$O$19</definedName>
    <definedName name="A200090011">'[1]DADOS COLETATO'!$O$20</definedName>
    <definedName name="A200280200">'[1]DADOS COLETATO'!$O$21</definedName>
    <definedName name="aaa" localSheetId="2">#REF!</definedName>
    <definedName name="aaa" localSheetId="0">#REF!</definedName>
    <definedName name="aaa">#REF!</definedName>
    <definedName name="Abrigo_moto_gerador_consulta" localSheetId="2">#REF!</definedName>
    <definedName name="Abrigo_moto_gerador_consulta" localSheetId="0">#REF!</definedName>
    <definedName name="Abrigo_moto_gerador_consulta">#REF!</definedName>
    <definedName name="Acesso_Estacao_01" localSheetId="2">#REF!</definedName>
    <definedName name="Acesso_Estacao_01" localSheetId="0">#REF!</definedName>
    <definedName name="Acesso_Estacao_01">#REF!</definedName>
    <definedName name="adfv" localSheetId="2">#REF!</definedName>
    <definedName name="adfv" localSheetId="0">#REF!</definedName>
    <definedName name="adfv">#REF!</definedName>
    <definedName name="Administração" localSheetId="2">#REF!</definedName>
    <definedName name="Administração" localSheetId="0">#REF!</definedName>
    <definedName name="Administração">#REF!</definedName>
    <definedName name="alturadocorte">'[1]DADOS COLETATO'!$G$9</definedName>
    <definedName name="_xlnm.Print_Area" localSheetId="1">'Balizador de Quantidades'!$A$2:$BS$49</definedName>
    <definedName name="_xlnm.Print_Area" localSheetId="2">'Comp. BDI'!$C$1:$K$36</definedName>
    <definedName name="_xlnm.Print_Area" localSheetId="0">'Planilha final'!$A$1:$I$96</definedName>
    <definedName name="_xlnm.Print_Area">#REF!</definedName>
    <definedName name="_xlnm.Database">#REF!</definedName>
    <definedName name="BASICO" localSheetId="2">#REF!</definedName>
    <definedName name="BASICO" localSheetId="0">#REF!</definedName>
    <definedName name="BASICO">#REF!</definedName>
    <definedName name="botafora">'[1]DADOS COLETATO'!$C$40</definedName>
    <definedName name="brita">'[1]DADOS COLETATO'!$G$10</definedName>
    <definedName name="bstc20">'[1]DADOS COLETATO'!$I$31</definedName>
    <definedName name="bstc40">'[1]DADOS COLETATO'!$I$30</definedName>
    <definedName name="bstc60">'[1]DADOS COLETATO'!$I$29</definedName>
    <definedName name="bstc80">'[1]DADOS COLETATO'!$I$28</definedName>
    <definedName name="C_" localSheetId="2">#REF!</definedName>
    <definedName name="C_" localSheetId="0">#REF!</definedName>
    <definedName name="C_">#REF!</definedName>
    <definedName name="caixadecentro">'[1]DADOS COLETATO'!$C$28</definedName>
    <definedName name="Casa_de_maquinas" localSheetId="2">#REF!</definedName>
    <definedName name="Casa_de_maquinas" localSheetId="0">#REF!</definedName>
    <definedName name="Casa_de_maquinas">#REF!</definedName>
    <definedName name="CERCA" localSheetId="2">#REF!</definedName>
    <definedName name="CERCA" localSheetId="0">#REF!</definedName>
    <definedName name="CERCA">#REF!</definedName>
    <definedName name="Cisterna_e_Castelo_d_agua_Consulta" localSheetId="2">#REF!</definedName>
    <definedName name="Cisterna_e_Castelo_d_agua_Consulta" localSheetId="0">#REF!</definedName>
    <definedName name="Cisterna_e_Castelo_d_agua_Consulta">#REF!</definedName>
    <definedName name="CLIENTE" localSheetId="2">#REF!</definedName>
    <definedName name="CLIENTE" localSheetId="0">#REF!</definedName>
    <definedName name="CLIENTE">#REF!</definedName>
    <definedName name="Codigos" localSheetId="2">#REF!</definedName>
    <definedName name="Codigos" localSheetId="0">#REF!</definedName>
    <definedName name="Codigos">#REF!</definedName>
    <definedName name="COMPRA" localSheetId="2">#REF!</definedName>
    <definedName name="COMPRA" localSheetId="0">#REF!</definedName>
    <definedName name="COMPRA">#REF!</definedName>
    <definedName name="COMPRAS" localSheetId="2">#REF!</definedName>
    <definedName name="COMPRAS" localSheetId="0">#REF!</definedName>
    <definedName name="COMPRAS">#REF!</definedName>
    <definedName name="COMPRIM" localSheetId="2">#REF!</definedName>
    <definedName name="COMPRIM" localSheetId="0">#REF!</definedName>
    <definedName name="COMPRIM">#REF!</definedName>
    <definedName name="comprimento">'[1]DADOS COLETATO'!$E$11</definedName>
    <definedName name="Construcao_Casa_Maq_Plano_Inclinado" localSheetId="2">#REF!</definedName>
    <definedName name="Construcao_Casa_Maq_Plano_Inclinado" localSheetId="0">#REF!</definedName>
    <definedName name="Construcao_Casa_Maq_Plano_Inclinado">#REF!</definedName>
    <definedName name="Construcao_de_Acesso_a_Estacao_I">'[2]12.1'!$A$8:$F$105</definedName>
    <definedName name="Construcao_do_acesso_a_Estacao_I" localSheetId="2">#REF!</definedName>
    <definedName name="Construcao_do_acesso_a_Estacao_I" localSheetId="0">#REF!</definedName>
    <definedName name="Construcao_do_acesso_a_Estacao_I">#REF!</definedName>
    <definedName name="Construcao_Escadaria_Apoio" localSheetId="2">#REF!</definedName>
    <definedName name="Construcao_Escadaria_Apoio" localSheetId="0">#REF!</definedName>
    <definedName name="Construcao_Escadaria_Apoio">#REF!</definedName>
    <definedName name="Contencao" localSheetId="2">#REF!</definedName>
    <definedName name="Contencao" localSheetId="0">#REF!</definedName>
    <definedName name="Contencao">#REF!</definedName>
    <definedName name="Contencao_" localSheetId="2">#REF!</definedName>
    <definedName name="Contencao_" localSheetId="0">#REF!</definedName>
    <definedName name="Contencao_">#REF!</definedName>
    <definedName name="cpartida" localSheetId="2">#REF!</definedName>
    <definedName name="cpartida" localSheetId="0">#REF!</definedName>
    <definedName name="cpartida">#REF!</definedName>
    <definedName name="DATA" localSheetId="2">#REF!</definedName>
    <definedName name="DATA" localSheetId="0">#REF!</definedName>
    <definedName name="DATA">#REF!</definedName>
    <definedName name="Database" localSheetId="0">#REF!</definedName>
    <definedName name="Database">#REF!</definedName>
    <definedName name="Dem_Lavanderia" localSheetId="2">#REF!</definedName>
    <definedName name="Dem_Lavanderia" localSheetId="0">#REF!</definedName>
    <definedName name="Dem_Lavanderia">#REF!</definedName>
    <definedName name="Demolicao_de_Guarita_Consulta" localSheetId="2">#REF!</definedName>
    <definedName name="Demolicao_de_Guarita_Consulta" localSheetId="0">#REF!</definedName>
    <definedName name="Demolicao_de_Guarita_Consulta">#REF!</definedName>
    <definedName name="Demolicao_Lavanderia_Existente" localSheetId="2">#REF!</definedName>
    <definedName name="Demolicao_Lavanderia_Existente" localSheetId="0">#REF!</definedName>
    <definedName name="Demolicao_Lavanderia_Existente">#REF!</definedName>
    <definedName name="Descricao" localSheetId="2">#REF!</definedName>
    <definedName name="Descricao" localSheetId="0">#REF!</definedName>
    <definedName name="Descricao">#REF!</definedName>
    <definedName name="DEZEMBRO06" localSheetId="2">#REF!</definedName>
    <definedName name="DEZEMBRO06" localSheetId="0">#REF!</definedName>
    <definedName name="DEZEMBRO06">#REF!</definedName>
    <definedName name="DRENAGEM" localSheetId="2">#REF!</definedName>
    <definedName name="DRENAGEM" localSheetId="0">#REF!</definedName>
    <definedName name="DRENAGEM">#REF!</definedName>
    <definedName name="DTEE" localSheetId="2">#REF!</definedName>
    <definedName name="DTEE" localSheetId="0">#REF!</definedName>
    <definedName name="DTEE">#REF!</definedName>
    <definedName name="DTEP" localSheetId="2">#REF!</definedName>
    <definedName name="DTEP" localSheetId="0">#REF!</definedName>
    <definedName name="DTEP">#REF!</definedName>
    <definedName name="DTET" localSheetId="2">#REF!</definedName>
    <definedName name="DTET" localSheetId="0">#REF!</definedName>
    <definedName name="DTET">#REF!</definedName>
    <definedName name="DTFE" localSheetId="2">#REF!</definedName>
    <definedName name="DTFE" localSheetId="0">#REF!</definedName>
    <definedName name="DTFE">#REF!</definedName>
    <definedName name="DTFM" localSheetId="2">#REF!</definedName>
    <definedName name="DTFM" localSheetId="0">#REF!</definedName>
    <definedName name="DTFM">#REF!</definedName>
    <definedName name="DTL" localSheetId="2">#REF!</definedName>
    <definedName name="DTL" localSheetId="0">#REF!</definedName>
    <definedName name="DTL">#REF!</definedName>
    <definedName name="ELEMVS07" localSheetId="2">#REF!</definedName>
    <definedName name="ELEMVS07" localSheetId="0">#REF!</definedName>
    <definedName name="ELEMVS07">#REF!</definedName>
    <definedName name="ELEVATÓRIAS" localSheetId="2">#REF!</definedName>
    <definedName name="ELEVATÓRIAS" localSheetId="0">#REF!</definedName>
    <definedName name="ELEVATÓRIAS">#REF!</definedName>
    <definedName name="EMBAL" localSheetId="2">#REF!</definedName>
    <definedName name="EMBAL" localSheetId="0">#REF!</definedName>
    <definedName name="EMBAL">#REF!</definedName>
    <definedName name="Embalagem" localSheetId="2">#REF!</definedName>
    <definedName name="Embalagem" localSheetId="0">#REF!</definedName>
    <definedName name="Embalagem">#REF!</definedName>
    <definedName name="empolamento">'[1]DADOS COLETATO'!$I$41</definedName>
    <definedName name="ENG" localSheetId="2">#REF!</definedName>
    <definedName name="ENG" localSheetId="0">#REF!</definedName>
    <definedName name="ENG">#REF!</definedName>
    <definedName name="Escadaria" localSheetId="2">#REF!</definedName>
    <definedName name="Escadaria" localSheetId="0">#REF!</definedName>
    <definedName name="Escadaria">#REF!</definedName>
    <definedName name="ESCMAN" localSheetId="2">#REF!</definedName>
    <definedName name="ESCMAN" localSheetId="0">#REF!</definedName>
    <definedName name="ESCMAN">#REF!</definedName>
    <definedName name="ESCRITÓRIO" localSheetId="2">#REF!</definedName>
    <definedName name="ESCRITÓRIO" localSheetId="0">#REF!</definedName>
    <definedName name="ESCRITÓRIO">#REF!</definedName>
    <definedName name="ESGOTO" localSheetId="2">#REF!</definedName>
    <definedName name="ESGOTO" localSheetId="0">#REF!</definedName>
    <definedName name="ESGOTO">#REF!</definedName>
    <definedName name="ESSENCIAIS" localSheetId="2">'[3]blocos ancoragem'!#REF!</definedName>
    <definedName name="ESSENCIAIS" localSheetId="0">'[3]blocos ancoragem'!#REF!</definedName>
    <definedName name="ESSENCIAIS">'[3]blocos ancoragem'!#REF!</definedName>
    <definedName name="Estacao_01" localSheetId="2">#REF!</definedName>
    <definedName name="Estacao_01" localSheetId="0">#REF!</definedName>
    <definedName name="Estacao_01">#REF!</definedName>
    <definedName name="Estacao_02" localSheetId="2">#REF!</definedName>
    <definedName name="Estacao_02" localSheetId="0">#REF!</definedName>
    <definedName name="Estacao_02">#REF!</definedName>
    <definedName name="Estacao_03" localSheetId="2">#REF!</definedName>
    <definedName name="Estacao_03" localSheetId="0">#REF!</definedName>
    <definedName name="Estacao_03">#REF!</definedName>
    <definedName name="Estacao_04" localSheetId="2">#REF!</definedName>
    <definedName name="Estacao_04" localSheetId="0">#REF!</definedName>
    <definedName name="Estacao_04">#REF!</definedName>
    <definedName name="Estacao_05" localSheetId="2">#REF!</definedName>
    <definedName name="Estacao_05" localSheetId="0">#REF!</definedName>
    <definedName name="Estacao_05">#REF!</definedName>
    <definedName name="ETE" localSheetId="2">#REF!</definedName>
    <definedName name="ETE" localSheetId="0">#REF!</definedName>
    <definedName name="ETE">#REF!</definedName>
    <definedName name="Execucao_Fundacoes_Plano_Inclinado" localSheetId="2">#REF!</definedName>
    <definedName name="Execucao_Fundacoes_Plano_Inclinado" localSheetId="0">#REF!</definedName>
    <definedName name="Execucao_Fundacoes_Plano_Inclinado">#REF!</definedName>
    <definedName name="EXT" localSheetId="2">'[4]quadra poliesportiva'!#REF!</definedName>
    <definedName name="EXT" localSheetId="0">'[4]quadra poliesportiva'!#REF!</definedName>
    <definedName name="EXT">'[4]quadra poliesportiva'!#REF!</definedName>
    <definedName name="F" localSheetId="2">#REF!</definedName>
    <definedName name="F" localSheetId="0">#REF!</definedName>
    <definedName name="F">#REF!</definedName>
    <definedName name="FGV">[5]SCO0504!$B:$E</definedName>
    <definedName name="FGVC">[5]SCO0504!$A:$E</definedName>
    <definedName name="FGVC0504" localSheetId="2">#REF!</definedName>
    <definedName name="FGVC0504" localSheetId="0">#REF!</definedName>
    <definedName name="FGVC0504">#REF!</definedName>
    <definedName name="FGVSER" localSheetId="2">#REF!</definedName>
    <definedName name="FGVSER" localSheetId="0">#REF!</definedName>
    <definedName name="FGVSER">#REF!</definedName>
    <definedName name="Fundacao_Plano_Inclinado" localSheetId="2">#REF!</definedName>
    <definedName name="Fundacao_Plano_Inclinado" localSheetId="0">#REF!</definedName>
    <definedName name="Fundacao_Plano_Inclinado">#REF!</definedName>
    <definedName name="ICMS" localSheetId="2">#REF!</definedName>
    <definedName name="ICMS" localSheetId="0">#REF!</definedName>
    <definedName name="ICMS">#REF!</definedName>
    <definedName name="Implantacao_Consulta" localSheetId="2">#REF!</definedName>
    <definedName name="Implantacao_Consulta" localSheetId="0">#REF!</definedName>
    <definedName name="Implantacao_Consulta">#REF!</definedName>
    <definedName name="INTERCEPTORES___EMISSÁRIOS" localSheetId="2">#REF!</definedName>
    <definedName name="INTERCEPTORES___EMISSÁRIOS" localSheetId="0">#REF!</definedName>
    <definedName name="INTERCEPTORES___EMISSÁRIOS">#REF!</definedName>
    <definedName name="J" localSheetId="2">#REF!</definedName>
    <definedName name="J" localSheetId="0">#REF!</definedName>
    <definedName name="J">#REF!</definedName>
    <definedName name="K" localSheetId="2">#REF!</definedName>
    <definedName name="K" localSheetId="0">#REF!</definedName>
    <definedName name="K">#REF!</definedName>
    <definedName name="Kvenda" localSheetId="2">#REF!</definedName>
    <definedName name="Kvenda" localSheetId="0">#REF!</definedName>
    <definedName name="Kvenda">#REF!</definedName>
    <definedName name="LARGURA" localSheetId="2">#REF!</definedName>
    <definedName name="LARGURA" localSheetId="0">#REF!</definedName>
    <definedName name="LARGURA">#REF!</definedName>
    <definedName name="LINHAS_DE_RECALQUE" localSheetId="2">#REF!</definedName>
    <definedName name="LINHAS_DE_RECALQUE" localSheetId="0">#REF!</definedName>
    <definedName name="LINHAS_DE_RECALQUE">#REF!</definedName>
    <definedName name="meiofio">'[1]DADOS COLETATO'!$E$12</definedName>
    <definedName name="Mob" localSheetId="2">#REF!</definedName>
    <definedName name="Mob" localSheetId="0">#REF!</definedName>
    <definedName name="Mob">#REF!</definedName>
    <definedName name="ORÇ" localSheetId="2">#REF!</definedName>
    <definedName name="ORÇ" localSheetId="0">#REF!</definedName>
    <definedName name="ORÇ">#REF!</definedName>
    <definedName name="OUTROS" localSheetId="2">#REF!</definedName>
    <definedName name="OUTROS" localSheetId="0">#REF!</definedName>
    <definedName name="OUTROS">#REF!</definedName>
    <definedName name="Paisagismo_Consulta" localSheetId="2">#REF!</definedName>
    <definedName name="Paisagismo_Consulta" localSheetId="0">#REF!</definedName>
    <definedName name="Paisagismo_Consulta">#REF!</definedName>
    <definedName name="PAVIMENTAÇÃO" localSheetId="2">#REF!</definedName>
    <definedName name="PAVIMENTAÇÃO" localSheetId="0">#REF!</definedName>
    <definedName name="PAVIMENTAÇÃO">#REF!</definedName>
    <definedName name="PBR" localSheetId="2">#REF!</definedName>
    <definedName name="PBR" localSheetId="0">#REF!</definedName>
    <definedName name="PBR">#REF!</definedName>
    <definedName name="pedreira">'[1]DADOS COLETATO'!$C$41</definedName>
    <definedName name="pesobrita">'[1]DADOS COLETATO'!$I$42</definedName>
    <definedName name="pesoespecifico">'[1]DADOS COLETATO'!$I$40</definedName>
    <definedName name="plani" localSheetId="2">#REF!</definedName>
    <definedName name="plani" localSheetId="0">#REF!</definedName>
    <definedName name="plani">#REF!</definedName>
    <definedName name="Poste" localSheetId="2">#REF!</definedName>
    <definedName name="Poste" localSheetId="0">#REF!</definedName>
    <definedName name="Poste">#REF!</definedName>
    <definedName name="Preco" localSheetId="2">#REF!</definedName>
    <definedName name="Preco" localSheetId="0">#REF!</definedName>
    <definedName name="Preco">#REF!</definedName>
    <definedName name="Preparo_Terreno" localSheetId="2">#REF!</definedName>
    <definedName name="Preparo_Terreno" localSheetId="0">#REF!</definedName>
    <definedName name="Preparo_Terreno">#REF!</definedName>
    <definedName name="Print_Area" localSheetId="0">'Planilha final'!$A$1:$J$91</definedName>
    <definedName name="Print_Area">#REF!</definedName>
    <definedName name="PROJ" localSheetId="2">#REF!</definedName>
    <definedName name="PROJ" localSheetId="0">#REF!</definedName>
    <definedName name="PROJ">#REF!</definedName>
    <definedName name="PRT" localSheetId="2">#REF!</definedName>
    <definedName name="PRT" localSheetId="0">#REF!</definedName>
    <definedName name="PRT">#REF!</definedName>
    <definedName name="pv" localSheetId="2">#REF!</definedName>
    <definedName name="pv" localSheetId="0">#REF!</definedName>
    <definedName name="pv">#REF!</definedName>
    <definedName name="ralo">'[1]DADOS COLETATO'!$C$29</definedName>
    <definedName name="REDE_COLETORA" localSheetId="2">#REF!</definedName>
    <definedName name="REDE_COLETORA" localSheetId="0">#REF!</definedName>
    <definedName name="REDE_COLETORA">#REF!</definedName>
    <definedName name="REF_SERVICOS" localSheetId="2">#REF!</definedName>
    <definedName name="REF_SERVICOS" localSheetId="0">#REF!</definedName>
    <definedName name="REF_SERVICOS">#REF!</definedName>
    <definedName name="RESP." localSheetId="2">#REF!</definedName>
    <definedName name="RESP." localSheetId="0">#REF!</definedName>
    <definedName name="RESP.">#REF!</definedName>
    <definedName name="RTL" localSheetId="2">#REF!</definedName>
    <definedName name="RTL" localSheetId="0">#REF!</definedName>
    <definedName name="RTL">#REF!</definedName>
    <definedName name="SDS" localSheetId="2">#REF!</definedName>
    <definedName name="SDS" localSheetId="0">#REF!</definedName>
    <definedName name="SDS">#REF!</definedName>
    <definedName name="Sede_Detran_Consulta" localSheetId="2">#REF!</definedName>
    <definedName name="Sede_Detran_Consulta" localSheetId="0">#REF!</definedName>
    <definedName name="Sede_Detran_Consulta">#REF!</definedName>
    <definedName name="SERVIÇOS_COMPLEMENTARES" localSheetId="2">#REF!</definedName>
    <definedName name="SERVIÇOS_COMPLEMENTARES" localSheetId="0">#REF!</definedName>
    <definedName name="SERVIÇOS_COMPLEMENTARES">#REF!</definedName>
    <definedName name="SERVIÇOS_PRELIMINARES" localSheetId="2">#REF!</definedName>
    <definedName name="SERVIÇOS_PRELIMINARES" localSheetId="0">#REF!</definedName>
    <definedName name="SERVIÇOS_PRELIMINARES">#REF!</definedName>
    <definedName name="Servicos_Tecnicos" localSheetId="2">#REF!</definedName>
    <definedName name="Servicos_Tecnicos" localSheetId="0">#REF!</definedName>
    <definedName name="Servicos_Tecnicos">#REF!</definedName>
    <definedName name="Servicos_Tecnicos_" localSheetId="2">#REF!</definedName>
    <definedName name="Servicos_Tecnicos_" localSheetId="0">#REF!</definedName>
    <definedName name="Servicos_Tecnicos_">#REF!</definedName>
    <definedName name="TEC" localSheetId="2">#REF!</definedName>
    <definedName name="TEC" localSheetId="0">#REF!</definedName>
    <definedName name="TEC">#REF!</definedName>
    <definedName name="TEC." localSheetId="2">#REF!</definedName>
    <definedName name="TEC." localSheetId="0">#REF!</definedName>
    <definedName name="TEC.">#REF!</definedName>
    <definedName name="TERRAPLENAGEM" localSheetId="2">#REF!</definedName>
    <definedName name="TERRAPLENAGEM" localSheetId="0">#REF!</definedName>
    <definedName name="TERRAPLENAGEM">#REF!</definedName>
    <definedName name="_xlnm.Print_Titles" localSheetId="1">'Balizador de Quantidades'!$B:$D,'Balizador de Quantidades'!$2:$4</definedName>
    <definedName name="_xlnm.Print_Titles" localSheetId="0">'Planilha final'!$1:$8</definedName>
    <definedName name="urb" localSheetId="2">#REF!</definedName>
    <definedName name="urb" localSheetId="0">#REF!</definedName>
    <definedName name="urb">#REF!</definedName>
    <definedName name="usina">'[1]DADOS COLETATO'!$C$42</definedName>
    <definedName name="volumedebrita">'[1]DADOS COLETATO'!$I$10</definedName>
    <definedName name="volumedecorte">'[1]DADOS COLETATO'!$I$9</definedName>
    <definedName name="volumedepv">'[1]DADOS COLETATO'!$I$11</definedName>
    <definedName name="XXX010160100" localSheetId="2">#REF!</definedName>
    <definedName name="XXX010160100" localSheetId="0">#REF!</definedName>
    <definedName name="XXX010160100">#REF!</definedName>
    <definedName name="zero" localSheetId="2">#REF!</definedName>
    <definedName name="zero" localSheetId="0">#REF!</definedName>
    <definedName name="zero">#REF!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B8" i="3" l="1"/>
  <c r="BC8" i="3"/>
  <c r="BD8" i="3"/>
  <c r="BE8" i="3"/>
  <c r="BF8" i="3"/>
  <c r="BB9" i="3"/>
  <c r="BC9" i="3"/>
  <c r="BD9" i="3"/>
  <c r="BE9" i="3"/>
  <c r="BF9" i="3"/>
  <c r="BB15" i="3"/>
  <c r="BO15" i="3" s="1"/>
  <c r="BC15" i="3"/>
  <c r="BD15" i="3"/>
  <c r="BE15" i="3"/>
  <c r="BF15" i="3"/>
  <c r="BB17" i="3"/>
  <c r="BO17" i="3" s="1"/>
  <c r="BC17" i="3"/>
  <c r="BD17" i="3"/>
  <c r="BE17" i="3"/>
  <c r="BF17" i="3"/>
  <c r="BB18" i="3"/>
  <c r="BO18" i="3" s="1"/>
  <c r="BC18" i="3"/>
  <c r="BD18" i="3"/>
  <c r="BE18" i="3"/>
  <c r="BF18" i="3"/>
  <c r="BB36" i="3"/>
  <c r="BC36" i="3"/>
  <c r="BD36" i="3"/>
  <c r="BE36" i="3"/>
  <c r="BF36" i="3"/>
  <c r="AZ28" i="3"/>
  <c r="AZ48" i="3"/>
  <c r="AY12" i="3"/>
  <c r="AY40" i="3"/>
  <c r="AY41" i="3"/>
  <c r="AY42" i="3"/>
  <c r="AY43" i="3"/>
  <c r="AY44" i="3"/>
  <c r="AW7" i="3"/>
  <c r="AX7" i="3" s="1"/>
  <c r="AY7" i="3" s="1"/>
  <c r="AW8" i="3"/>
  <c r="AX8" i="3" s="1"/>
  <c r="AY8" i="3" s="1"/>
  <c r="AW9" i="3"/>
  <c r="AX9" i="3" s="1"/>
  <c r="AY9" i="3" s="1"/>
  <c r="AW10" i="3"/>
  <c r="AX10" i="3" s="1"/>
  <c r="AY10" i="3" s="1"/>
  <c r="AW14" i="3"/>
  <c r="AX14" i="3" s="1"/>
  <c r="AY14" i="3" s="1"/>
  <c r="AW15" i="3"/>
  <c r="AX15" i="3" s="1"/>
  <c r="AY15" i="3" s="1"/>
  <c r="AW16" i="3"/>
  <c r="AX16" i="3" s="1"/>
  <c r="AY16" i="3" s="1"/>
  <c r="AW21" i="3"/>
  <c r="AX21" i="3" s="1"/>
  <c r="AY21" i="3" s="1"/>
  <c r="AW22" i="3"/>
  <c r="AX22" i="3" s="1"/>
  <c r="AY22" i="3" s="1"/>
  <c r="AW23" i="3"/>
  <c r="AX23" i="3" s="1"/>
  <c r="AY23" i="3" s="1"/>
  <c r="AW26" i="3"/>
  <c r="AX26" i="3" s="1"/>
  <c r="AY26" i="3" s="1"/>
  <c r="AV27" i="3"/>
  <c r="AW27" i="3" s="1"/>
  <c r="AX27" i="3" s="1"/>
  <c r="AY27" i="3" s="1"/>
  <c r="AV28" i="3"/>
  <c r="AW28" i="3" s="1"/>
  <c r="AX28" i="3" s="1"/>
  <c r="AY28" i="3" s="1"/>
  <c r="AV6" i="3"/>
  <c r="AW6" i="3" s="1"/>
  <c r="AX6" i="3" s="1"/>
  <c r="AY6" i="3" s="1"/>
  <c r="AV11" i="3"/>
  <c r="AW11" i="3" s="1"/>
  <c r="AX11" i="3" s="1"/>
  <c r="AY11" i="3" s="1"/>
  <c r="AV12" i="3"/>
  <c r="AW12" i="3" s="1"/>
  <c r="AX12" i="3" s="1"/>
  <c r="AV13" i="3"/>
  <c r="AW13" i="3" s="1"/>
  <c r="AX13" i="3" s="1"/>
  <c r="AY13" i="3" s="1"/>
  <c r="AV17" i="3"/>
  <c r="AW17" i="3" s="1"/>
  <c r="AX17" i="3" s="1"/>
  <c r="AY17" i="3" s="1"/>
  <c r="AV18" i="3"/>
  <c r="AW18" i="3" s="1"/>
  <c r="AX18" i="3" s="1"/>
  <c r="AY18" i="3" s="1"/>
  <c r="AV19" i="3"/>
  <c r="AW19" i="3" s="1"/>
  <c r="AX19" i="3" s="1"/>
  <c r="AY19" i="3" s="1"/>
  <c r="AV20" i="3"/>
  <c r="AW20" i="3" s="1"/>
  <c r="AX20" i="3" s="1"/>
  <c r="AY20" i="3" s="1"/>
  <c r="AV24" i="3"/>
  <c r="AW24" i="3" s="1"/>
  <c r="AX24" i="3" s="1"/>
  <c r="AY24" i="3" s="1"/>
  <c r="AV25" i="3"/>
  <c r="AW25" i="3" s="1"/>
  <c r="AX25" i="3" s="1"/>
  <c r="AY25" i="3" s="1"/>
  <c r="AV29" i="3"/>
  <c r="AW29" i="3" s="1"/>
  <c r="AX29" i="3" s="1"/>
  <c r="AY29" i="3" s="1"/>
  <c r="AV30" i="3"/>
  <c r="AW30" i="3" s="1"/>
  <c r="AX30" i="3" s="1"/>
  <c r="AY30" i="3" s="1"/>
  <c r="AV31" i="3"/>
  <c r="AW31" i="3" s="1"/>
  <c r="AX31" i="3" s="1"/>
  <c r="AY31" i="3" s="1"/>
  <c r="AV32" i="3"/>
  <c r="AW32" i="3" s="1"/>
  <c r="AX32" i="3" s="1"/>
  <c r="AY32" i="3" s="1"/>
  <c r="AV33" i="3"/>
  <c r="AW33" i="3" s="1"/>
  <c r="AX33" i="3" s="1"/>
  <c r="AY33" i="3" s="1"/>
  <c r="AV34" i="3"/>
  <c r="AW34" i="3" s="1"/>
  <c r="AX34" i="3" s="1"/>
  <c r="AY34" i="3" s="1"/>
  <c r="AV35" i="3"/>
  <c r="AW35" i="3" s="1"/>
  <c r="AX35" i="3" s="1"/>
  <c r="AY35" i="3" s="1"/>
  <c r="AV36" i="3"/>
  <c r="AW36" i="3" s="1"/>
  <c r="AX36" i="3" s="1"/>
  <c r="AY36" i="3" s="1"/>
  <c r="AV37" i="3"/>
  <c r="AW37" i="3" s="1"/>
  <c r="AX37" i="3" s="1"/>
  <c r="AY37" i="3" s="1"/>
  <c r="AV38" i="3"/>
  <c r="AW38" i="3" s="1"/>
  <c r="AX38" i="3" s="1"/>
  <c r="AY38" i="3" s="1"/>
  <c r="AV39" i="3"/>
  <c r="AW39" i="3" s="1"/>
  <c r="AX39" i="3" s="1"/>
  <c r="AY39" i="3" s="1"/>
  <c r="AV40" i="3"/>
  <c r="AW40" i="3" s="1"/>
  <c r="AV41" i="3"/>
  <c r="AW41" i="3" s="1"/>
  <c r="AV42" i="3"/>
  <c r="AW42" i="3" s="1"/>
  <c r="AV43" i="3"/>
  <c r="AW43" i="3" s="1"/>
  <c r="AV44" i="3"/>
  <c r="AW44" i="3" s="1"/>
  <c r="AV45" i="3"/>
  <c r="AW45" i="3" s="1"/>
  <c r="AX45" i="3" s="1"/>
  <c r="AY45" i="3" s="1"/>
  <c r="AV46" i="3"/>
  <c r="AW46" i="3" s="1"/>
  <c r="AX46" i="3" s="1"/>
  <c r="AY46" i="3" s="1"/>
  <c r="AV47" i="3"/>
  <c r="AW47" i="3" s="1"/>
  <c r="AX47" i="3" s="1"/>
  <c r="AY47" i="3" s="1"/>
  <c r="AV48" i="3"/>
  <c r="AW48" i="3" s="1"/>
  <c r="AX48" i="3" s="1"/>
  <c r="AY48" i="3" s="1"/>
  <c r="AV5" i="3"/>
  <c r="AW5" i="3" s="1"/>
  <c r="AX5" i="3" s="1"/>
  <c r="AY5" i="3" s="1"/>
  <c r="AU30" i="3"/>
  <c r="AU31" i="3"/>
  <c r="AU36" i="3"/>
  <c r="AU37" i="3"/>
  <c r="AU38" i="3"/>
  <c r="AU39" i="3"/>
  <c r="AU40" i="3"/>
  <c r="AU42" i="3"/>
  <c r="AU43" i="3"/>
  <c r="AU44" i="3"/>
  <c r="AU45" i="3"/>
  <c r="AU46" i="3"/>
  <c r="AR6" i="3"/>
  <c r="AS6" i="3" s="1"/>
  <c r="AZ6" i="3" s="1"/>
  <c r="AR7" i="3"/>
  <c r="AS7" i="3" s="1"/>
  <c r="AZ7" i="3" s="1"/>
  <c r="AR8" i="3"/>
  <c r="AR9" i="3"/>
  <c r="AS9" i="3" s="1"/>
  <c r="AZ9" i="3" s="1"/>
  <c r="AR10" i="3"/>
  <c r="AR11" i="3"/>
  <c r="AS11" i="3" s="1"/>
  <c r="AZ11" i="3" s="1"/>
  <c r="AR12" i="3"/>
  <c r="AR13" i="3"/>
  <c r="AS13" i="3" s="1"/>
  <c r="AZ13" i="3" s="1"/>
  <c r="AR14" i="3"/>
  <c r="AS14" i="3" s="1"/>
  <c r="AZ14" i="3" s="1"/>
  <c r="AR15" i="3"/>
  <c r="AS15" i="3" s="1"/>
  <c r="AZ15" i="3" s="1"/>
  <c r="AR16" i="3"/>
  <c r="AS16" i="3" s="1"/>
  <c r="AZ16" i="3" s="1"/>
  <c r="AR17" i="3"/>
  <c r="AS17" i="3" s="1"/>
  <c r="AZ17" i="3" s="1"/>
  <c r="AR18" i="3"/>
  <c r="AR19" i="3"/>
  <c r="AS19" i="3" s="1"/>
  <c r="AZ19" i="3" s="1"/>
  <c r="AR20" i="3"/>
  <c r="AR21" i="3"/>
  <c r="AS21" i="3" s="1"/>
  <c r="AZ21" i="3" s="1"/>
  <c r="AR22" i="3"/>
  <c r="AS22" i="3" s="1"/>
  <c r="AZ22" i="3" s="1"/>
  <c r="AR23" i="3"/>
  <c r="AS23" i="3" s="1"/>
  <c r="AZ23" i="3" s="1"/>
  <c r="AR24" i="3"/>
  <c r="AS24" i="3" s="1"/>
  <c r="AZ24" i="3" s="1"/>
  <c r="AR25" i="3"/>
  <c r="AS25" i="3" s="1"/>
  <c r="AZ25" i="3" s="1"/>
  <c r="AR26" i="3"/>
  <c r="AS26" i="3" s="1"/>
  <c r="AZ26" i="3" s="1"/>
  <c r="AR27" i="3"/>
  <c r="AR28" i="3"/>
  <c r="AR29" i="3"/>
  <c r="AS29" i="3" s="1"/>
  <c r="AZ29" i="3" s="1"/>
  <c r="AR30" i="3"/>
  <c r="AS30" i="3" s="1"/>
  <c r="AZ30" i="3" s="1"/>
  <c r="AR31" i="3"/>
  <c r="AS31" i="3" s="1"/>
  <c r="AZ31" i="3" s="1"/>
  <c r="AR32" i="3"/>
  <c r="AS32" i="3" s="1"/>
  <c r="AZ32" i="3" s="1"/>
  <c r="AR33" i="3"/>
  <c r="AS33" i="3" s="1"/>
  <c r="AZ33" i="3" s="1"/>
  <c r="AR34" i="3"/>
  <c r="AR35" i="3"/>
  <c r="AS35" i="3" s="1"/>
  <c r="AZ35" i="3" s="1"/>
  <c r="AR36" i="3"/>
  <c r="AS36" i="3" s="1"/>
  <c r="AZ36" i="3" s="1"/>
  <c r="AR37" i="3"/>
  <c r="AS37" i="3" s="1"/>
  <c r="AZ37" i="3" s="1"/>
  <c r="AR38" i="3"/>
  <c r="AS38" i="3" s="1"/>
  <c r="AZ38" i="3" s="1"/>
  <c r="AR39" i="3"/>
  <c r="AS39" i="3" s="1"/>
  <c r="AZ39" i="3" s="1"/>
  <c r="AR40" i="3"/>
  <c r="AS40" i="3" s="1"/>
  <c r="AZ40" i="3" s="1"/>
  <c r="AR41" i="3"/>
  <c r="AS41" i="3" s="1"/>
  <c r="AZ41" i="3" s="1"/>
  <c r="AR42" i="3"/>
  <c r="AR43" i="3"/>
  <c r="AS43" i="3" s="1"/>
  <c r="AZ43" i="3" s="1"/>
  <c r="AR44" i="3"/>
  <c r="AS44" i="3" s="1"/>
  <c r="AZ44" i="3" s="1"/>
  <c r="AR45" i="3"/>
  <c r="AS45" i="3" s="1"/>
  <c r="AZ45" i="3" s="1"/>
  <c r="AR46" i="3"/>
  <c r="AS46" i="3" s="1"/>
  <c r="AZ46" i="3" s="1"/>
  <c r="AR47" i="3"/>
  <c r="AS47" i="3" s="1"/>
  <c r="AZ47" i="3" s="1"/>
  <c r="AR48" i="3"/>
  <c r="AR5" i="3"/>
  <c r="AS5" i="3" s="1"/>
  <c r="AZ5" i="3" s="1"/>
  <c r="AS10" i="3"/>
  <c r="AZ10" i="3" s="1"/>
  <c r="AS12" i="3"/>
  <c r="AZ12" i="3" s="1"/>
  <c r="AS18" i="3"/>
  <c r="AZ18" i="3" s="1"/>
  <c r="AS20" i="3"/>
  <c r="AZ20" i="3" s="1"/>
  <c r="AS27" i="3"/>
  <c r="AZ27" i="3" s="1"/>
  <c r="AS34" i="3"/>
  <c r="AZ34" i="3" s="1"/>
  <c r="AS42" i="3"/>
  <c r="AZ42" i="3" s="1"/>
  <c r="AT6" i="3"/>
  <c r="AT7" i="3"/>
  <c r="AT8" i="3"/>
  <c r="AT9" i="3"/>
  <c r="AT10" i="3"/>
  <c r="AT11" i="3"/>
  <c r="AT12" i="3"/>
  <c r="AT13" i="3"/>
  <c r="AT14" i="3"/>
  <c r="AT15" i="3"/>
  <c r="AT16" i="3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AT30" i="3"/>
  <c r="AT31" i="3"/>
  <c r="AT32" i="3"/>
  <c r="AT33" i="3"/>
  <c r="AT34" i="3"/>
  <c r="AT35" i="3"/>
  <c r="AT36" i="3"/>
  <c r="AT37" i="3"/>
  <c r="AT38" i="3"/>
  <c r="AT39" i="3"/>
  <c r="AT40" i="3"/>
  <c r="AT41" i="3"/>
  <c r="AT42" i="3"/>
  <c r="AT43" i="3"/>
  <c r="AT44" i="3"/>
  <c r="AT45" i="3"/>
  <c r="AT46" i="3"/>
  <c r="AT47" i="3"/>
  <c r="AT48" i="3"/>
  <c r="AT5" i="3"/>
  <c r="AP23" i="3"/>
  <c r="AP6" i="3"/>
  <c r="AU6" i="3" s="1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4" i="3"/>
  <c r="AP25" i="3"/>
  <c r="AP26" i="3"/>
  <c r="AU26" i="3" s="1"/>
  <c r="AP27" i="3"/>
  <c r="AP32" i="3"/>
  <c r="AU32" i="3" s="1"/>
  <c r="AP33" i="3"/>
  <c r="AU33" i="3" s="1"/>
  <c r="AP34" i="3"/>
  <c r="AP35" i="3"/>
  <c r="AU35" i="3" s="1"/>
  <c r="AP41" i="3"/>
  <c r="AU41" i="3" s="1"/>
  <c r="AP47" i="3"/>
  <c r="AU47" i="3" s="1"/>
  <c r="AP48" i="3"/>
  <c r="AU48" i="3" s="1"/>
  <c r="AP5" i="3"/>
  <c r="AU5" i="3" s="1"/>
  <c r="AQ50" i="3"/>
  <c r="AR50" i="3"/>
  <c r="AS50" i="3"/>
  <c r="AT50" i="3"/>
  <c r="AU50" i="3"/>
  <c r="AQ49" i="3"/>
  <c r="AP50" i="3"/>
  <c r="AV50" i="3"/>
  <c r="AW50" i="3"/>
  <c r="AX50" i="3"/>
  <c r="AY50" i="3"/>
  <c r="AZ50" i="3"/>
  <c r="H68" i="1"/>
  <c r="H67" i="1"/>
  <c r="H66" i="1"/>
  <c r="H65" i="1"/>
  <c r="H64" i="1"/>
  <c r="H63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AL7" i="3"/>
  <c r="AL15" i="3"/>
  <c r="AL20" i="3"/>
  <c r="AL22" i="3"/>
  <c r="AL23" i="3"/>
  <c r="AL24" i="3"/>
  <c r="AL26" i="3"/>
  <c r="AL30" i="3"/>
  <c r="AL31" i="3"/>
  <c r="AL5" i="3"/>
  <c r="H44" i="1"/>
  <c r="W6" i="3"/>
  <c r="W7" i="3"/>
  <c r="W8" i="3"/>
  <c r="W9" i="3"/>
  <c r="W10" i="3"/>
  <c r="W11" i="3"/>
  <c r="W12" i="3"/>
  <c r="W13" i="3"/>
  <c r="AJ6" i="3"/>
  <c r="AJ7" i="3"/>
  <c r="AJ8" i="3"/>
  <c r="AJ9" i="3"/>
  <c r="AJ10" i="3"/>
  <c r="AJ11" i="3"/>
  <c r="AJ12" i="3"/>
  <c r="AJ13" i="3"/>
  <c r="AJ50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3" i="3"/>
  <c r="AI25" i="3"/>
  <c r="AI26" i="3"/>
  <c r="AI43" i="3"/>
  <c r="AI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34" i="3"/>
  <c r="AF35" i="3"/>
  <c r="AF36" i="3"/>
  <c r="AF37" i="3"/>
  <c r="AF38" i="3"/>
  <c r="AF39" i="3"/>
  <c r="AF5" i="3"/>
  <c r="AE22" i="3"/>
  <c r="AF22" i="3" s="1"/>
  <c r="AE27" i="3"/>
  <c r="AF27" i="3" s="1"/>
  <c r="AE30" i="3"/>
  <c r="AF30" i="3" s="1"/>
  <c r="AE33" i="3"/>
  <c r="AF33" i="3" s="1"/>
  <c r="AE45" i="3"/>
  <c r="AF45" i="3" s="1"/>
  <c r="AE46" i="3"/>
  <c r="AF46" i="3" s="1"/>
  <c r="AD7" i="3"/>
  <c r="AD22" i="3"/>
  <c r="AD27" i="3"/>
  <c r="AD30" i="3"/>
  <c r="AD33" i="3"/>
  <c r="AD45" i="3"/>
  <c r="AD46" i="3"/>
  <c r="Y24" i="3"/>
  <c r="AE24" i="3" s="1"/>
  <c r="AF24" i="3" s="1"/>
  <c r="AY49" i="3" l="1"/>
  <c r="AR49" i="3"/>
  <c r="AV49" i="3"/>
  <c r="AP49" i="3"/>
  <c r="AX49" i="3"/>
  <c r="AW49" i="3"/>
  <c r="AU49" i="3"/>
  <c r="AS8" i="3"/>
  <c r="AT49" i="3"/>
  <c r="AD24" i="3"/>
  <c r="AS49" i="3" l="1"/>
  <c r="AZ8" i="3"/>
  <c r="AZ49" i="3" s="1"/>
  <c r="K36" i="2" l="1"/>
  <c r="D35" i="2"/>
  <c r="D34" i="2"/>
  <c r="D33" i="2"/>
  <c r="D32" i="2"/>
  <c r="D31" i="2"/>
  <c r="D30" i="2"/>
  <c r="D29" i="2"/>
  <c r="BR6" i="3"/>
  <c r="BR7" i="3"/>
  <c r="BR8" i="3"/>
  <c r="BR9" i="3"/>
  <c r="BR10" i="3"/>
  <c r="BR11" i="3"/>
  <c r="BR12" i="3"/>
  <c r="BR13" i="3"/>
  <c r="BR14" i="3"/>
  <c r="BR15" i="3"/>
  <c r="BR16" i="3"/>
  <c r="BR17" i="3"/>
  <c r="BR20" i="3"/>
  <c r="BR21" i="3"/>
  <c r="BR22" i="3"/>
  <c r="BR23" i="3"/>
  <c r="BR24" i="3"/>
  <c r="BR25" i="3"/>
  <c r="BR26" i="3"/>
  <c r="BR28" i="3"/>
  <c r="BR29" i="3"/>
  <c r="BR30" i="3"/>
  <c r="BR31" i="3"/>
  <c r="BR32" i="3"/>
  <c r="BR33" i="3"/>
  <c r="BR34" i="3"/>
  <c r="BR35" i="3"/>
  <c r="BR36" i="3"/>
  <c r="BR37" i="3"/>
  <c r="BR38" i="3"/>
  <c r="BR39" i="3"/>
  <c r="BR40" i="3"/>
  <c r="BR41" i="3"/>
  <c r="BR42" i="3"/>
  <c r="BR44" i="3"/>
  <c r="BR45" i="3"/>
  <c r="BR46" i="3"/>
  <c r="BR47" i="3"/>
  <c r="BR48" i="3"/>
  <c r="BR5" i="3"/>
  <c r="BG50" i="3"/>
  <c r="F17" i="3"/>
  <c r="G17" i="3" s="1"/>
  <c r="H17" i="3"/>
  <c r="I17" i="3"/>
  <c r="Q17" i="3" s="1"/>
  <c r="F20" i="3"/>
  <c r="E20" i="3" s="1"/>
  <c r="H20" i="3"/>
  <c r="I20" i="3"/>
  <c r="J20" i="3" s="1"/>
  <c r="F21" i="3"/>
  <c r="E21" i="3" s="1"/>
  <c r="H21" i="3"/>
  <c r="I21" i="3"/>
  <c r="Q21" i="3" s="1"/>
  <c r="S21" i="3" s="1"/>
  <c r="F22" i="3"/>
  <c r="E22" i="3" s="1"/>
  <c r="H22" i="3"/>
  <c r="I22" i="3"/>
  <c r="Q22" i="3" s="1"/>
  <c r="F23" i="3"/>
  <c r="H23" i="3"/>
  <c r="I23" i="3"/>
  <c r="Q23" i="3" s="1"/>
  <c r="F24" i="3"/>
  <c r="E24" i="3" s="1"/>
  <c r="H24" i="3"/>
  <c r="I24" i="3"/>
  <c r="Q24" i="3" s="1"/>
  <c r="F25" i="3"/>
  <c r="G25" i="3" s="1"/>
  <c r="H25" i="3"/>
  <c r="I25" i="3"/>
  <c r="J25" i="3" s="1"/>
  <c r="F26" i="3"/>
  <c r="E26" i="3" s="1"/>
  <c r="H26" i="3"/>
  <c r="I26" i="3"/>
  <c r="J26" i="3" s="1"/>
  <c r="F28" i="3"/>
  <c r="E28" i="3" s="1"/>
  <c r="H28" i="3"/>
  <c r="I28" i="3"/>
  <c r="Q28" i="3" s="1"/>
  <c r="F29" i="3"/>
  <c r="G29" i="3" s="1"/>
  <c r="H29" i="3"/>
  <c r="I29" i="3"/>
  <c r="Q29" i="3" s="1"/>
  <c r="F30" i="3"/>
  <c r="E30" i="3" s="1"/>
  <c r="H30" i="3"/>
  <c r="I30" i="3"/>
  <c r="Q30" i="3" s="1"/>
  <c r="F31" i="3"/>
  <c r="E31" i="3" s="1"/>
  <c r="H31" i="3"/>
  <c r="I31" i="3"/>
  <c r="Q31" i="3" s="1"/>
  <c r="F32" i="3"/>
  <c r="E32" i="3" s="1"/>
  <c r="H32" i="3"/>
  <c r="I32" i="3"/>
  <c r="Q32" i="3" s="1"/>
  <c r="F33" i="3"/>
  <c r="E33" i="3" s="1"/>
  <c r="H33" i="3"/>
  <c r="I33" i="3"/>
  <c r="Q33" i="3" s="1"/>
  <c r="F34" i="3"/>
  <c r="E34" i="3" s="1"/>
  <c r="H34" i="3"/>
  <c r="I34" i="3"/>
  <c r="J34" i="3" s="1"/>
  <c r="F35" i="3"/>
  <c r="E35" i="3" s="1"/>
  <c r="H35" i="3"/>
  <c r="I35" i="3"/>
  <c r="J35" i="3" s="1"/>
  <c r="F36" i="3"/>
  <c r="E36" i="3" s="1"/>
  <c r="H36" i="3"/>
  <c r="I36" i="3"/>
  <c r="Q36" i="3" s="1"/>
  <c r="F37" i="3"/>
  <c r="E37" i="3" s="1"/>
  <c r="H37" i="3"/>
  <c r="I37" i="3"/>
  <c r="J37" i="3" s="1"/>
  <c r="F38" i="3"/>
  <c r="E38" i="3" s="1"/>
  <c r="H38" i="3"/>
  <c r="I38" i="3"/>
  <c r="J38" i="3" s="1"/>
  <c r="F39" i="3"/>
  <c r="H39" i="3"/>
  <c r="I39" i="3"/>
  <c r="Q39" i="3" s="1"/>
  <c r="F40" i="3"/>
  <c r="E40" i="3" s="1"/>
  <c r="H40" i="3"/>
  <c r="I40" i="3"/>
  <c r="Q40" i="3" s="1"/>
  <c r="F41" i="3"/>
  <c r="E41" i="3" s="1"/>
  <c r="H41" i="3"/>
  <c r="I41" i="3"/>
  <c r="J41" i="3" s="1"/>
  <c r="F42" i="3"/>
  <c r="G42" i="3" s="1"/>
  <c r="H42" i="3"/>
  <c r="I42" i="3"/>
  <c r="J42" i="3" s="1"/>
  <c r="F44" i="3"/>
  <c r="E44" i="3" s="1"/>
  <c r="H44" i="3"/>
  <c r="I44" i="3"/>
  <c r="Q44" i="3" s="1"/>
  <c r="F45" i="3"/>
  <c r="E45" i="3" s="1"/>
  <c r="H45" i="3"/>
  <c r="I45" i="3"/>
  <c r="Q45" i="3" s="1"/>
  <c r="F46" i="3"/>
  <c r="G46" i="3" s="1"/>
  <c r="H46" i="3"/>
  <c r="I46" i="3"/>
  <c r="J46" i="3" s="1"/>
  <c r="F47" i="3"/>
  <c r="G47" i="3" s="1"/>
  <c r="H47" i="3"/>
  <c r="I47" i="3"/>
  <c r="Q47" i="3" s="1"/>
  <c r="F48" i="3"/>
  <c r="E48" i="3" s="1"/>
  <c r="H48" i="3"/>
  <c r="I48" i="3"/>
  <c r="Q48" i="3" s="1"/>
  <c r="D43" i="3"/>
  <c r="BR43" i="3" s="1"/>
  <c r="C43" i="3"/>
  <c r="D27" i="3"/>
  <c r="F27" i="3" s="1"/>
  <c r="C27" i="3"/>
  <c r="D19" i="3"/>
  <c r="H19" i="3" s="1"/>
  <c r="C19" i="3"/>
  <c r="D18" i="3"/>
  <c r="C18" i="3"/>
  <c r="J45" i="3" l="1"/>
  <c r="BM45" i="3" s="1"/>
  <c r="BN45" i="3" s="1"/>
  <c r="G33" i="3"/>
  <c r="G24" i="3"/>
  <c r="J47" i="3"/>
  <c r="M47" i="3" s="1"/>
  <c r="N47" i="3" s="1"/>
  <c r="E25" i="3"/>
  <c r="J44" i="3"/>
  <c r="BM44" i="3" s="1"/>
  <c r="BN44" i="3" s="1"/>
  <c r="J22" i="3"/>
  <c r="K22" i="3" s="1"/>
  <c r="AK22" i="3" s="1"/>
  <c r="M41" i="3"/>
  <c r="BM41" i="3"/>
  <c r="BN41" i="3" s="1"/>
  <c r="K41" i="3"/>
  <c r="AK41" i="3" s="1"/>
  <c r="J17" i="3"/>
  <c r="M17" i="3" s="1"/>
  <c r="G37" i="3"/>
  <c r="G35" i="3"/>
  <c r="G28" i="3"/>
  <c r="J21" i="3"/>
  <c r="L21" i="3" s="1"/>
  <c r="J36" i="3"/>
  <c r="BM36" i="3" s="1"/>
  <c r="BN36" i="3" s="1"/>
  <c r="Q20" i="3"/>
  <c r="J33" i="3"/>
  <c r="BM33" i="3" s="1"/>
  <c r="BN33" i="3" s="1"/>
  <c r="G32" i="3"/>
  <c r="J28" i="3"/>
  <c r="M28" i="3" s="1"/>
  <c r="G38" i="3"/>
  <c r="G36" i="3"/>
  <c r="G26" i="3"/>
  <c r="G22" i="3"/>
  <c r="J48" i="3"/>
  <c r="BM48" i="3" s="1"/>
  <c r="BN48" i="3" s="1"/>
  <c r="J24" i="3"/>
  <c r="L24" i="3" s="1"/>
  <c r="AA48" i="3"/>
  <c r="AL48" i="3" s="1"/>
  <c r="U48" i="3"/>
  <c r="S48" i="3"/>
  <c r="R48" i="3"/>
  <c r="AA45" i="3"/>
  <c r="AL45" i="3" s="1"/>
  <c r="BS45" i="3" s="1"/>
  <c r="U45" i="3"/>
  <c r="S45" i="3"/>
  <c r="R45" i="3"/>
  <c r="M34" i="3"/>
  <c r="BM34" i="3"/>
  <c r="BN34" i="3" s="1"/>
  <c r="M46" i="3"/>
  <c r="BM46" i="3"/>
  <c r="BN46" i="3" s="1"/>
  <c r="AA33" i="3"/>
  <c r="AL33" i="3" s="1"/>
  <c r="U33" i="3"/>
  <c r="T33" i="3"/>
  <c r="AB33" i="3" s="1"/>
  <c r="S33" i="3"/>
  <c r="R33" i="3"/>
  <c r="T31" i="3"/>
  <c r="AB31" i="3" s="1"/>
  <c r="U31" i="3"/>
  <c r="S31" i="3"/>
  <c r="R31" i="3"/>
  <c r="AA17" i="3"/>
  <c r="AL17" i="3" s="1"/>
  <c r="BS17" i="3" s="1"/>
  <c r="U17" i="3"/>
  <c r="S17" i="3"/>
  <c r="R17" i="3"/>
  <c r="M42" i="3"/>
  <c r="BM42" i="3"/>
  <c r="BN42" i="3" s="1"/>
  <c r="BM37" i="3"/>
  <c r="BN37" i="3" s="1"/>
  <c r="M37" i="3"/>
  <c r="M35" i="3"/>
  <c r="BM35" i="3"/>
  <c r="BN35" i="3" s="1"/>
  <c r="U28" i="3"/>
  <c r="AA28" i="3"/>
  <c r="AL28" i="3" s="1"/>
  <c r="BS28" i="3" s="1"/>
  <c r="S28" i="3"/>
  <c r="R28" i="3"/>
  <c r="M25" i="3"/>
  <c r="K25" i="3"/>
  <c r="AK25" i="3" s="1"/>
  <c r="AA39" i="3"/>
  <c r="AL39" i="3" s="1"/>
  <c r="U39" i="3"/>
  <c r="S39" i="3"/>
  <c r="R39" i="3"/>
  <c r="U23" i="3"/>
  <c r="S23" i="3"/>
  <c r="R23" i="3"/>
  <c r="U30" i="3"/>
  <c r="T30" i="3"/>
  <c r="AB30" i="3" s="1"/>
  <c r="S30" i="3"/>
  <c r="R30" i="3"/>
  <c r="AA32" i="3"/>
  <c r="AL32" i="3" s="1"/>
  <c r="BS32" i="3" s="1"/>
  <c r="U32" i="3"/>
  <c r="AJ32" i="3" s="1"/>
  <c r="S32" i="3"/>
  <c r="R32" i="3"/>
  <c r="BM38" i="3"/>
  <c r="BN38" i="3" s="1"/>
  <c r="M38" i="3"/>
  <c r="U36" i="3"/>
  <c r="AA36" i="3"/>
  <c r="AL36" i="3" s="1"/>
  <c r="R36" i="3"/>
  <c r="S36" i="3"/>
  <c r="M26" i="3"/>
  <c r="K26" i="3"/>
  <c r="AK26" i="3" s="1"/>
  <c r="U22" i="3"/>
  <c r="S22" i="3"/>
  <c r="R22" i="3"/>
  <c r="M20" i="3"/>
  <c r="BM20" i="3"/>
  <c r="BN20" i="3" s="1"/>
  <c r="L20" i="3"/>
  <c r="K20" i="3"/>
  <c r="AK20" i="3" s="1"/>
  <c r="U44" i="3"/>
  <c r="AA44" i="3"/>
  <c r="AL44" i="3" s="1"/>
  <c r="BS44" i="3" s="1"/>
  <c r="S44" i="3"/>
  <c r="R44" i="3"/>
  <c r="AA29" i="3"/>
  <c r="AL29" i="3" s="1"/>
  <c r="BS29" i="3" s="1"/>
  <c r="U29" i="3"/>
  <c r="S29" i="3"/>
  <c r="R29" i="3"/>
  <c r="U24" i="3"/>
  <c r="AJ24" i="3" s="1"/>
  <c r="S24" i="3"/>
  <c r="R24" i="3"/>
  <c r="AA40" i="3"/>
  <c r="AL40" i="3" s="1"/>
  <c r="U40" i="3"/>
  <c r="S40" i="3"/>
  <c r="R40" i="3"/>
  <c r="AA47" i="3"/>
  <c r="AL47" i="3" s="1"/>
  <c r="BS47" i="3" s="1"/>
  <c r="U47" i="3"/>
  <c r="Q37" i="3"/>
  <c r="T37" i="3" s="1"/>
  <c r="AB37" i="3" s="1"/>
  <c r="Q26" i="3"/>
  <c r="T26" i="3" s="1"/>
  <c r="Q34" i="3"/>
  <c r="S47" i="3"/>
  <c r="G48" i="3"/>
  <c r="G44" i="3"/>
  <c r="E29" i="3"/>
  <c r="G21" i="3"/>
  <c r="L33" i="3"/>
  <c r="K28" i="3"/>
  <c r="AK28" i="3" s="1"/>
  <c r="J40" i="3"/>
  <c r="BM40" i="3" s="1"/>
  <c r="BN40" i="3" s="1"/>
  <c r="J32" i="3"/>
  <c r="K32" i="3" s="1"/>
  <c r="AK32" i="3" s="1"/>
  <c r="J23" i="3"/>
  <c r="M45" i="3"/>
  <c r="Q46" i="3"/>
  <c r="Q25" i="3"/>
  <c r="Q38" i="3"/>
  <c r="T38" i="3" s="1"/>
  <c r="AB38" i="3" s="1"/>
  <c r="J31" i="3"/>
  <c r="L31" i="3" s="1"/>
  <c r="Q35" i="3"/>
  <c r="AA21" i="3"/>
  <c r="AL21" i="3" s="1"/>
  <c r="BS21" i="3" s="1"/>
  <c r="U21" i="3"/>
  <c r="J39" i="3"/>
  <c r="K39" i="3" s="1"/>
  <c r="AK39" i="3" s="1"/>
  <c r="J30" i="3"/>
  <c r="BM30" i="3" s="1"/>
  <c r="BN30" i="3" s="1"/>
  <c r="T45" i="3"/>
  <c r="AB45" i="3" s="1"/>
  <c r="K48" i="3"/>
  <c r="AK48" i="3" s="1"/>
  <c r="J29" i="3"/>
  <c r="K29" i="3" s="1"/>
  <c r="AK29" i="3" s="1"/>
  <c r="Q42" i="3"/>
  <c r="Q41" i="3"/>
  <c r="T41" i="3" s="1"/>
  <c r="AB41" i="3" s="1"/>
  <c r="E17" i="3"/>
  <c r="R47" i="3"/>
  <c r="E47" i="3"/>
  <c r="T44" i="3"/>
  <c r="AB44" i="3" s="1"/>
  <c r="G31" i="3"/>
  <c r="R21" i="3"/>
  <c r="F18" i="3"/>
  <c r="E18" i="3" s="1"/>
  <c r="D49" i="3"/>
  <c r="I43" i="3"/>
  <c r="F43" i="3"/>
  <c r="I27" i="3"/>
  <c r="Q27" i="3" s="1"/>
  <c r="H43" i="3"/>
  <c r="F19" i="3"/>
  <c r="E19" i="3" s="1"/>
  <c r="I18" i="3"/>
  <c r="Q18" i="3" s="1"/>
  <c r="BR27" i="3"/>
  <c r="BR19" i="3"/>
  <c r="I19" i="3"/>
  <c r="H27" i="3"/>
  <c r="H18" i="3"/>
  <c r="BR18" i="3"/>
  <c r="L38" i="3"/>
  <c r="AM45" i="3"/>
  <c r="AN20" i="3"/>
  <c r="AG41" i="3"/>
  <c r="AH41" i="3" s="1"/>
  <c r="AI41" i="3" s="1"/>
  <c r="K45" i="3"/>
  <c r="AK45" i="3" s="1"/>
  <c r="K35" i="3"/>
  <c r="AK35" i="3" s="1"/>
  <c r="K46" i="3"/>
  <c r="AK46" i="3" s="1"/>
  <c r="K38" i="3"/>
  <c r="AK38" i="3" s="1"/>
  <c r="K37" i="3"/>
  <c r="AK37" i="3" s="1"/>
  <c r="BS26" i="3"/>
  <c r="AG30" i="3"/>
  <c r="AH30" i="3" s="1"/>
  <c r="AI30" i="3" s="1"/>
  <c r="AN30" i="3" s="1"/>
  <c r="T29" i="3"/>
  <c r="AB29" i="3" s="1"/>
  <c r="BS30" i="3"/>
  <c r="BS33" i="3"/>
  <c r="T32" i="3"/>
  <c r="AB32" i="3" s="1"/>
  <c r="K42" i="3"/>
  <c r="AK42" i="3" s="1"/>
  <c r="K34" i="3"/>
  <c r="AK34" i="3" s="1"/>
  <c r="L42" i="3"/>
  <c r="L46" i="3"/>
  <c r="L37" i="3"/>
  <c r="T47" i="3"/>
  <c r="AB47" i="3" s="1"/>
  <c r="G45" i="3"/>
  <c r="E42" i="3"/>
  <c r="G41" i="3"/>
  <c r="T34" i="3"/>
  <c r="AB34" i="3" s="1"/>
  <c r="E39" i="3"/>
  <c r="G39" i="3"/>
  <c r="E46" i="3"/>
  <c r="AG39" i="3"/>
  <c r="AH39" i="3" s="1"/>
  <c r="AI39" i="3" s="1"/>
  <c r="AG34" i="3"/>
  <c r="AH34" i="3" s="1"/>
  <c r="AI34" i="3" s="1"/>
  <c r="AM30" i="3"/>
  <c r="G27" i="3"/>
  <c r="E27" i="3"/>
  <c r="G40" i="3"/>
  <c r="L35" i="3"/>
  <c r="BS24" i="3"/>
  <c r="T24" i="3"/>
  <c r="AB24" i="3" s="1"/>
  <c r="L34" i="3"/>
  <c r="BM29" i="3"/>
  <c r="BN29" i="3" s="1"/>
  <c r="G34" i="3"/>
  <c r="BS31" i="3"/>
  <c r="G30" i="3"/>
  <c r="L28" i="3"/>
  <c r="BM28" i="3"/>
  <c r="BN28" i="3" s="1"/>
  <c r="T28" i="3"/>
  <c r="AB28" i="3" s="1"/>
  <c r="E23" i="3"/>
  <c r="G23" i="3"/>
  <c r="T21" i="3"/>
  <c r="AB21" i="3" s="1"/>
  <c r="T22" i="3"/>
  <c r="AB22" i="3" s="1"/>
  <c r="BS20" i="3"/>
  <c r="BS22" i="3"/>
  <c r="T17" i="3"/>
  <c r="G20" i="3"/>
  <c r="M44" i="3" l="1"/>
  <c r="M22" i="3"/>
  <c r="K44" i="3"/>
  <c r="AK44" i="3" s="1"/>
  <c r="BM22" i="3"/>
  <c r="BN22" i="3" s="1"/>
  <c r="BM17" i="3"/>
  <c r="BN17" i="3" s="1"/>
  <c r="L22" i="3"/>
  <c r="L48" i="3"/>
  <c r="BM47" i="3"/>
  <c r="BN47" i="3" s="1"/>
  <c r="K47" i="3"/>
  <c r="AK47" i="3" s="1"/>
  <c r="M48" i="3"/>
  <c r="O47" i="3"/>
  <c r="AO47" i="3" s="1"/>
  <c r="BA47" i="3" s="1"/>
  <c r="M21" i="3"/>
  <c r="N21" i="3" s="1"/>
  <c r="O21" i="3" s="1"/>
  <c r="Z21" i="3" s="1"/>
  <c r="L32" i="3"/>
  <c r="K21" i="3"/>
  <c r="AK21" i="3" s="1"/>
  <c r="K24" i="3"/>
  <c r="AK24" i="3" s="1"/>
  <c r="BM21" i="3"/>
  <c r="BN21" i="3" s="1"/>
  <c r="K17" i="3"/>
  <c r="AK17" i="3" s="1"/>
  <c r="N34" i="3"/>
  <c r="O34" i="3" s="1"/>
  <c r="P34" i="3" s="1"/>
  <c r="V47" i="3"/>
  <c r="AJ47" i="3"/>
  <c r="N20" i="3"/>
  <c r="O20" i="3" s="1"/>
  <c r="Z20" i="3" s="1"/>
  <c r="N45" i="3"/>
  <c r="O45" i="3" s="1"/>
  <c r="P45" i="3" s="1"/>
  <c r="AO45" i="3"/>
  <c r="BA45" i="3" s="1"/>
  <c r="L17" i="3"/>
  <c r="N38" i="3"/>
  <c r="O38" i="3" s="1"/>
  <c r="P38" i="3" s="1"/>
  <c r="N25" i="3"/>
  <c r="O25" i="3" s="1"/>
  <c r="P25" i="3" s="1"/>
  <c r="M33" i="3"/>
  <c r="V33" i="3"/>
  <c r="W33" i="3" s="1"/>
  <c r="AJ33" i="3"/>
  <c r="V45" i="3"/>
  <c r="W45" i="3" s="1"/>
  <c r="AJ45" i="3"/>
  <c r="U20" i="3"/>
  <c r="T20" i="3"/>
  <c r="AB20" i="3" s="1"/>
  <c r="K33" i="3"/>
  <c r="AK33" i="3" s="1"/>
  <c r="R20" i="3"/>
  <c r="N22" i="3"/>
  <c r="O22" i="3" s="1"/>
  <c r="Z22" i="3" s="1"/>
  <c r="V44" i="3"/>
  <c r="W44" i="3" s="1"/>
  <c r="AJ44" i="3"/>
  <c r="V23" i="3"/>
  <c r="AJ23" i="3"/>
  <c r="N42" i="3"/>
  <c r="O42" i="3" s="1"/>
  <c r="P42" i="3" s="1"/>
  <c r="M36" i="3"/>
  <c r="K36" i="3"/>
  <c r="AK36" i="3" s="1"/>
  <c r="N35" i="3"/>
  <c r="O35" i="3" s="1"/>
  <c r="AO35" i="3" s="1"/>
  <c r="BA35" i="3" s="1"/>
  <c r="V21" i="3"/>
  <c r="W21" i="3" s="1"/>
  <c r="AJ21" i="3"/>
  <c r="V36" i="3"/>
  <c r="AJ36" i="3"/>
  <c r="V30" i="3"/>
  <c r="W30" i="3" s="1"/>
  <c r="AJ30" i="3"/>
  <c r="N37" i="3"/>
  <c r="O37" i="3" s="1"/>
  <c r="P37" i="3" s="1"/>
  <c r="N17" i="3"/>
  <c r="O17" i="3" s="1"/>
  <c r="X17" i="3" s="1"/>
  <c r="Y17" i="3" s="1"/>
  <c r="AD17" i="3" s="1"/>
  <c r="BM24" i="3"/>
  <c r="BN24" i="3" s="1"/>
  <c r="M24" i="3"/>
  <c r="V17" i="3"/>
  <c r="W17" i="3" s="1"/>
  <c r="AJ17" i="3"/>
  <c r="N44" i="3"/>
  <c r="O44" i="3" s="1"/>
  <c r="P44" i="3" s="1"/>
  <c r="V22" i="3"/>
  <c r="W22" i="3" s="1"/>
  <c r="AJ22" i="3"/>
  <c r="S20" i="3"/>
  <c r="N26" i="3"/>
  <c r="O26" i="3" s="1"/>
  <c r="P26" i="3" s="1"/>
  <c r="V40" i="3"/>
  <c r="AJ40" i="3"/>
  <c r="V28" i="3"/>
  <c r="W28" i="3" s="1"/>
  <c r="AJ28" i="3"/>
  <c r="V31" i="3"/>
  <c r="W31" i="3" s="1"/>
  <c r="AJ31" i="3"/>
  <c r="N46" i="3"/>
  <c r="O46" i="3" s="1"/>
  <c r="X46" i="3" s="1"/>
  <c r="V29" i="3"/>
  <c r="W29" i="3" s="1"/>
  <c r="AJ29" i="3"/>
  <c r="V39" i="3"/>
  <c r="AJ39" i="3"/>
  <c r="V48" i="3"/>
  <c r="AJ48" i="3"/>
  <c r="N28" i="3"/>
  <c r="O28" i="3" s="1"/>
  <c r="N41" i="3"/>
  <c r="O41" i="3" s="1"/>
  <c r="AA18" i="3"/>
  <c r="AL18" i="3" s="1"/>
  <c r="U18" i="3"/>
  <c r="K23" i="3"/>
  <c r="AK23" i="3" s="1"/>
  <c r="M23" i="3"/>
  <c r="AA35" i="3"/>
  <c r="AL35" i="3" s="1"/>
  <c r="BS35" i="3" s="1"/>
  <c r="U35" i="3"/>
  <c r="R35" i="3"/>
  <c r="S35" i="3"/>
  <c r="BM32" i="3"/>
  <c r="BN32" i="3" s="1"/>
  <c r="M32" i="3"/>
  <c r="Z42" i="3"/>
  <c r="K40" i="3"/>
  <c r="AK40" i="3" s="1"/>
  <c r="M40" i="3"/>
  <c r="AA27" i="3"/>
  <c r="AL27" i="3" s="1"/>
  <c r="U27" i="3"/>
  <c r="AJ27" i="3" s="1"/>
  <c r="AA41" i="3"/>
  <c r="AL41" i="3" s="1"/>
  <c r="BS41" i="3" s="1"/>
  <c r="U41" i="3"/>
  <c r="S41" i="3"/>
  <c r="R41" i="3"/>
  <c r="BM31" i="3"/>
  <c r="BN31" i="3" s="1"/>
  <c r="K31" i="3"/>
  <c r="AK31" i="3" s="1"/>
  <c r="M31" i="3"/>
  <c r="U34" i="3"/>
  <c r="AA34" i="3"/>
  <c r="AL34" i="3" s="1"/>
  <c r="BS34" i="3" s="1"/>
  <c r="S34" i="3"/>
  <c r="R34" i="3"/>
  <c r="K30" i="3"/>
  <c r="AK30" i="3" s="1"/>
  <c r="M30" i="3"/>
  <c r="AA38" i="3"/>
  <c r="AL38" i="3" s="1"/>
  <c r="BS38" i="3" s="1"/>
  <c r="U38" i="3"/>
  <c r="AJ38" i="3" s="1"/>
  <c r="R38" i="3"/>
  <c r="S38" i="3"/>
  <c r="U26" i="3"/>
  <c r="S26" i="3"/>
  <c r="R26" i="3"/>
  <c r="BM39" i="3"/>
  <c r="BN39" i="3" s="1"/>
  <c r="M39" i="3"/>
  <c r="U42" i="3"/>
  <c r="AA42" i="3"/>
  <c r="AL42" i="3" s="1"/>
  <c r="BS42" i="3" s="1"/>
  <c r="S42" i="3"/>
  <c r="T42" i="3"/>
  <c r="AB42" i="3" s="1"/>
  <c r="R42" i="3"/>
  <c r="AA25" i="3"/>
  <c r="AL25" i="3" s="1"/>
  <c r="BS25" i="3" s="1"/>
  <c r="U25" i="3"/>
  <c r="S25" i="3"/>
  <c r="R25" i="3"/>
  <c r="AA37" i="3"/>
  <c r="AL37" i="3" s="1"/>
  <c r="BS37" i="3" s="1"/>
  <c r="U37" i="3"/>
  <c r="R37" i="3"/>
  <c r="S37" i="3"/>
  <c r="L30" i="3"/>
  <c r="L29" i="3"/>
  <c r="M29" i="3"/>
  <c r="AA46" i="3"/>
  <c r="AL46" i="3" s="1"/>
  <c r="BS46" i="3" s="1"/>
  <c r="U46" i="3"/>
  <c r="R46" i="3"/>
  <c r="S46" i="3"/>
  <c r="W32" i="3"/>
  <c r="J19" i="3"/>
  <c r="M19" i="3" s="1"/>
  <c r="Q19" i="3"/>
  <c r="J43" i="3"/>
  <c r="L43" i="3" s="1"/>
  <c r="Q43" i="3"/>
  <c r="S18" i="3"/>
  <c r="R18" i="3"/>
  <c r="R27" i="3"/>
  <c r="S27" i="3"/>
  <c r="AN17" i="3"/>
  <c r="G18" i="3"/>
  <c r="G19" i="3"/>
  <c r="J27" i="3"/>
  <c r="M27" i="3" s="1"/>
  <c r="E43" i="3"/>
  <c r="G43" i="3"/>
  <c r="J18" i="3"/>
  <c r="M18" i="3" s="1"/>
  <c r="AG29" i="3"/>
  <c r="AH29" i="3" s="1"/>
  <c r="AI29" i="3" s="1"/>
  <c r="AG38" i="3"/>
  <c r="AH38" i="3" s="1"/>
  <c r="AI38" i="3" s="1"/>
  <c r="AG31" i="3"/>
  <c r="AH31" i="3" s="1"/>
  <c r="AI31" i="3" s="1"/>
  <c r="AN31" i="3" s="1"/>
  <c r="P22" i="3"/>
  <c r="AG37" i="3"/>
  <c r="AH37" i="3" s="1"/>
  <c r="AI37" i="3" s="1"/>
  <c r="AN37" i="3" s="1"/>
  <c r="BM23" i="3"/>
  <c r="BN23" i="3" s="1"/>
  <c r="L23" i="3"/>
  <c r="T25" i="3"/>
  <c r="AB25" i="3" s="1"/>
  <c r="AG33" i="3"/>
  <c r="AH33" i="3" s="1"/>
  <c r="AI33" i="3" s="1"/>
  <c r="AN33" i="3" s="1"/>
  <c r="BM25" i="3"/>
  <c r="BN25" i="3" s="1"/>
  <c r="L25" i="3"/>
  <c r="L47" i="3"/>
  <c r="T40" i="3"/>
  <c r="AB40" i="3" s="1"/>
  <c r="BS40" i="3"/>
  <c r="W38" i="3"/>
  <c r="BS48" i="3"/>
  <c r="T48" i="3"/>
  <c r="AB48" i="3" s="1"/>
  <c r="AG42" i="3"/>
  <c r="AH42" i="3" s="1"/>
  <c r="AI42" i="3" s="1"/>
  <c r="AN42" i="3" s="1"/>
  <c r="AG28" i="3"/>
  <c r="AH28" i="3" s="1"/>
  <c r="AI28" i="3" s="1"/>
  <c r="AG35" i="3"/>
  <c r="AH35" i="3" s="1"/>
  <c r="AI35" i="3" s="1"/>
  <c r="L40" i="3"/>
  <c r="L44" i="3"/>
  <c r="L39" i="3"/>
  <c r="BM26" i="3"/>
  <c r="BN26" i="3" s="1"/>
  <c r="L26" i="3"/>
  <c r="AG36" i="3"/>
  <c r="AH36" i="3" s="1"/>
  <c r="AI36" i="3" s="1"/>
  <c r="T39" i="3"/>
  <c r="AB39" i="3" s="1"/>
  <c r="BS39" i="3"/>
  <c r="L36" i="3"/>
  <c r="L45" i="3"/>
  <c r="T35" i="3"/>
  <c r="AB35" i="3" s="1"/>
  <c r="W24" i="3"/>
  <c r="T36" i="3"/>
  <c r="AB36" i="3" s="1"/>
  <c r="BS36" i="3"/>
  <c r="AM33" i="3"/>
  <c r="W47" i="3"/>
  <c r="T23" i="3"/>
  <c r="AB23" i="3" s="1"/>
  <c r="BS23" i="3"/>
  <c r="AG32" i="3"/>
  <c r="AH32" i="3" s="1"/>
  <c r="AI32" i="3" s="1"/>
  <c r="L41" i="3"/>
  <c r="T46" i="3"/>
  <c r="AB46" i="3" s="1"/>
  <c r="X20" i="3" l="1"/>
  <c r="Y20" i="3" s="1"/>
  <c r="AE20" i="3" s="1"/>
  <c r="AF20" i="3" s="1"/>
  <c r="X45" i="3"/>
  <c r="P20" i="3"/>
  <c r="L19" i="3"/>
  <c r="P17" i="3"/>
  <c r="X44" i="3"/>
  <c r="Y44" i="3" s="1"/>
  <c r="N48" i="3"/>
  <c r="O48" i="3" s="1"/>
  <c r="P48" i="3" s="1"/>
  <c r="X34" i="3"/>
  <c r="Y34" i="3" s="1"/>
  <c r="Z25" i="3"/>
  <c r="AO17" i="3"/>
  <c r="P46" i="3"/>
  <c r="Z46" i="3"/>
  <c r="X38" i="3"/>
  <c r="Y38" i="3" s="1"/>
  <c r="X42" i="3"/>
  <c r="Y42" i="3" s="1"/>
  <c r="AE42" i="3" s="1"/>
  <c r="AF42" i="3" s="1"/>
  <c r="AM42" i="3" s="1"/>
  <c r="AO28" i="3"/>
  <c r="AO46" i="3"/>
  <c r="BG46" i="3" s="1"/>
  <c r="BH46" i="3" s="1"/>
  <c r="BQ46" i="3" s="1"/>
  <c r="AO42" i="3"/>
  <c r="BB47" i="3"/>
  <c r="BO47" i="3" s="1"/>
  <c r="BC47" i="3"/>
  <c r="BD47" i="3"/>
  <c r="BE47" i="3"/>
  <c r="BF47" i="3"/>
  <c r="Z34" i="3"/>
  <c r="X25" i="3"/>
  <c r="Y25" i="3" s="1"/>
  <c r="AD25" i="3" s="1"/>
  <c r="AG25" i="3" s="1"/>
  <c r="BB45" i="3"/>
  <c r="BC45" i="3"/>
  <c r="BD45" i="3"/>
  <c r="BE45" i="3"/>
  <c r="BF45" i="3"/>
  <c r="BC35" i="3"/>
  <c r="BD35" i="3"/>
  <c r="BE35" i="3"/>
  <c r="BF35" i="3"/>
  <c r="BB35" i="3"/>
  <c r="BO35" i="3" s="1"/>
  <c r="Z26" i="3"/>
  <c r="Z38" i="3"/>
  <c r="Z45" i="3"/>
  <c r="AO22" i="3"/>
  <c r="BA22" i="3" s="1"/>
  <c r="AO20" i="3"/>
  <c r="BA20" i="3" s="1"/>
  <c r="BG47" i="3"/>
  <c r="BH47" i="3" s="1"/>
  <c r="BQ47" i="3" s="1"/>
  <c r="BI47" i="3"/>
  <c r="BJ47" i="3" s="1"/>
  <c r="BK47" i="3" s="1"/>
  <c r="BL47" i="3" s="1"/>
  <c r="Z17" i="3"/>
  <c r="K19" i="3"/>
  <c r="AK19" i="3" s="1"/>
  <c r="BH17" i="3"/>
  <c r="BQ17" i="3" s="1"/>
  <c r="Z44" i="3"/>
  <c r="BI17" i="3"/>
  <c r="BJ17" i="3" s="1"/>
  <c r="BK17" i="3" s="1"/>
  <c r="BL17" i="3" s="1"/>
  <c r="P35" i="3"/>
  <c r="X35" i="3"/>
  <c r="Y35" i="3" s="1"/>
  <c r="AO21" i="3"/>
  <c r="BA21" i="3" s="1"/>
  <c r="AO38" i="3"/>
  <c r="BA38" i="3" s="1"/>
  <c r="BM19" i="3"/>
  <c r="BN19" i="3" s="1"/>
  <c r="Z35" i="3"/>
  <c r="X37" i="3"/>
  <c r="Y37" i="3" s="1"/>
  <c r="X47" i="3"/>
  <c r="Y47" i="3" s="1"/>
  <c r="Z47" i="3"/>
  <c r="P47" i="3"/>
  <c r="V42" i="3"/>
  <c r="W42" i="3" s="1"/>
  <c r="AJ42" i="3"/>
  <c r="X26" i="3"/>
  <c r="Y26" i="3" s="1"/>
  <c r="AD26" i="3" s="1"/>
  <c r="AG26" i="3" s="1"/>
  <c r="N33" i="3"/>
  <c r="O33" i="3" s="1"/>
  <c r="AO33" i="3" s="1"/>
  <c r="BA33" i="3" s="1"/>
  <c r="AO41" i="3"/>
  <c r="BA41" i="3" s="1"/>
  <c r="AO25" i="3"/>
  <c r="BA25" i="3" s="1"/>
  <c r="V46" i="3"/>
  <c r="W46" i="3" s="1"/>
  <c r="AJ46" i="3"/>
  <c r="N36" i="3"/>
  <c r="O36" i="3" s="1"/>
  <c r="V18" i="3"/>
  <c r="AJ18" i="3"/>
  <c r="P21" i="3"/>
  <c r="Z41" i="3"/>
  <c r="P41" i="3"/>
  <c r="X41" i="3"/>
  <c r="Y41" i="3" s="1"/>
  <c r="AE41" i="3" s="1"/>
  <c r="AF41" i="3" s="1"/>
  <c r="V26" i="3"/>
  <c r="W26" i="3" s="1"/>
  <c r="AJ26" i="3"/>
  <c r="V25" i="3"/>
  <c r="W25" i="3" s="1"/>
  <c r="AJ25" i="3"/>
  <c r="N40" i="3"/>
  <c r="O40" i="3" s="1"/>
  <c r="P40" i="3" s="1"/>
  <c r="N24" i="3"/>
  <c r="O24" i="3" s="1"/>
  <c r="V34" i="3"/>
  <c r="W34" i="3" s="1"/>
  <c r="AJ34" i="3"/>
  <c r="V41" i="3"/>
  <c r="W41" i="3" s="1"/>
  <c r="AJ41" i="3"/>
  <c r="Z37" i="3"/>
  <c r="V20" i="3"/>
  <c r="W20" i="3" s="1"/>
  <c r="AJ20" i="3"/>
  <c r="V37" i="3"/>
  <c r="W37" i="3" s="1"/>
  <c r="AJ37" i="3"/>
  <c r="N30" i="3"/>
  <c r="O30" i="3" s="1"/>
  <c r="Z30" i="3" s="1"/>
  <c r="N23" i="3"/>
  <c r="O23" i="3" s="1"/>
  <c r="P23" i="3" s="1"/>
  <c r="X21" i="3"/>
  <c r="Y21" i="3" s="1"/>
  <c r="AE21" i="3" s="1"/>
  <c r="AF21" i="3" s="1"/>
  <c r="P28" i="3"/>
  <c r="Z28" i="3"/>
  <c r="X28" i="3"/>
  <c r="Y28" i="3" s="1"/>
  <c r="AE28" i="3" s="1"/>
  <c r="AF28" i="3" s="1"/>
  <c r="AM28" i="3" s="1"/>
  <c r="AO44" i="3"/>
  <c r="BA44" i="3" s="1"/>
  <c r="AO37" i="3"/>
  <c r="BA37" i="3" s="1"/>
  <c r="AO34" i="3"/>
  <c r="BA34" i="3" s="1"/>
  <c r="V35" i="3"/>
  <c r="W35" i="3" s="1"/>
  <c r="AJ35" i="3"/>
  <c r="AO26" i="3"/>
  <c r="BA26" i="3" s="1"/>
  <c r="BI35" i="3"/>
  <c r="BJ35" i="3" s="1"/>
  <c r="BK35" i="3" s="1"/>
  <c r="BL35" i="3" s="1"/>
  <c r="BG35" i="3"/>
  <c r="BH35" i="3" s="1"/>
  <c r="BQ35" i="3" s="1"/>
  <c r="N31" i="3"/>
  <c r="O31" i="3" s="1"/>
  <c r="AA43" i="3"/>
  <c r="AL43" i="3" s="1"/>
  <c r="BS43" i="3" s="1"/>
  <c r="U43" i="3"/>
  <c r="N39" i="3"/>
  <c r="O39" i="3" s="1"/>
  <c r="AD44" i="3"/>
  <c r="AG44" i="3" s="1"/>
  <c r="AH44" i="3" s="1"/>
  <c r="AI44" i="3" s="1"/>
  <c r="AN44" i="3" s="1"/>
  <c r="AE44" i="3"/>
  <c r="AF44" i="3" s="1"/>
  <c r="AE25" i="3"/>
  <c r="AF25" i="3" s="1"/>
  <c r="AA19" i="3"/>
  <c r="AL19" i="3" s="1"/>
  <c r="BS19" i="3" s="1"/>
  <c r="U19" i="3"/>
  <c r="N29" i="3"/>
  <c r="O29" i="3" s="1"/>
  <c r="N32" i="3"/>
  <c r="O32" i="3" s="1"/>
  <c r="M43" i="3"/>
  <c r="R43" i="3"/>
  <c r="S43" i="3"/>
  <c r="BM43" i="3"/>
  <c r="BN43" i="3" s="1"/>
  <c r="R19" i="3"/>
  <c r="S19" i="3"/>
  <c r="K43" i="3"/>
  <c r="AK43" i="3" s="1"/>
  <c r="AM24" i="3"/>
  <c r="AN21" i="3"/>
  <c r="AN26" i="3"/>
  <c r="AN32" i="3"/>
  <c r="AN29" i="3"/>
  <c r="AM34" i="3"/>
  <c r="AN34" i="3"/>
  <c r="AN28" i="3"/>
  <c r="AM41" i="3"/>
  <c r="AN41" i="3"/>
  <c r="AM38" i="3"/>
  <c r="AN38" i="3"/>
  <c r="AM22" i="3"/>
  <c r="AM17" i="3"/>
  <c r="AN39" i="3"/>
  <c r="AM37" i="3"/>
  <c r="AM36" i="3"/>
  <c r="T43" i="3"/>
  <c r="T19" i="3"/>
  <c r="K27" i="3"/>
  <c r="AK27" i="3" s="1"/>
  <c r="L27" i="3"/>
  <c r="BM27" i="3"/>
  <c r="BN27" i="3" s="1"/>
  <c r="N27" i="3"/>
  <c r="O27" i="3" s="1"/>
  <c r="Z27" i="3" s="1"/>
  <c r="BS27" i="3"/>
  <c r="T27" i="3"/>
  <c r="L18" i="3"/>
  <c r="BM18" i="3"/>
  <c r="BN18" i="3" s="1"/>
  <c r="K18" i="3"/>
  <c r="AK18" i="3" s="1"/>
  <c r="BS18" i="3"/>
  <c r="T18" i="3"/>
  <c r="N19" i="3"/>
  <c r="O19" i="3" s="1"/>
  <c r="BI45" i="3"/>
  <c r="BJ45" i="3" s="1"/>
  <c r="BK45" i="3" s="1"/>
  <c r="BL45" i="3" s="1"/>
  <c r="BG45" i="3"/>
  <c r="BH45" i="3" s="1"/>
  <c r="BQ45" i="3" s="1"/>
  <c r="AG24" i="3"/>
  <c r="AH24" i="3" s="1"/>
  <c r="AI24" i="3" s="1"/>
  <c r="AN24" i="3" s="1"/>
  <c r="BG20" i="3"/>
  <c r="BH20" i="3" s="1"/>
  <c r="BQ20" i="3" s="1"/>
  <c r="AG45" i="3"/>
  <c r="AH45" i="3" s="1"/>
  <c r="AI45" i="3" s="1"/>
  <c r="AN45" i="3" s="1"/>
  <c r="BG22" i="3"/>
  <c r="BH22" i="3" s="1"/>
  <c r="BQ22" i="3" s="1"/>
  <c r="AG22" i="3"/>
  <c r="AH22" i="3" s="1"/>
  <c r="AI22" i="3" s="1"/>
  <c r="AN22" i="3" s="1"/>
  <c r="AG17" i="3"/>
  <c r="AG46" i="3"/>
  <c r="AH46" i="3" s="1"/>
  <c r="AI46" i="3" s="1"/>
  <c r="W48" i="3"/>
  <c r="W40" i="3"/>
  <c r="W23" i="3"/>
  <c r="W39" i="3"/>
  <c r="W36" i="3"/>
  <c r="AG40" i="3"/>
  <c r="AH40" i="3" s="1"/>
  <c r="AI40" i="3" s="1"/>
  <c r="BP17" i="3"/>
  <c r="AD20" i="3" l="1"/>
  <c r="AG20" i="3" s="1"/>
  <c r="BI22" i="3"/>
  <c r="BJ22" i="3" s="1"/>
  <c r="BK22" i="3" s="1"/>
  <c r="BL22" i="3" s="1"/>
  <c r="AO40" i="3"/>
  <c r="BA40" i="3" s="1"/>
  <c r="BF40" i="3" s="1"/>
  <c r="Z48" i="3"/>
  <c r="X48" i="3"/>
  <c r="Y48" i="3" s="1"/>
  <c r="AD48" i="3" s="1"/>
  <c r="AG48" i="3" s="1"/>
  <c r="AH48" i="3" s="1"/>
  <c r="AI48" i="3" s="1"/>
  <c r="AO48" i="3"/>
  <c r="AO24" i="3"/>
  <c r="BC40" i="3"/>
  <c r="BD40" i="3"/>
  <c r="BE40" i="3"/>
  <c r="BE41" i="3"/>
  <c r="BF41" i="3"/>
  <c r="BB41" i="3"/>
  <c r="BC41" i="3"/>
  <c r="BD41" i="3"/>
  <c r="BB26" i="3"/>
  <c r="BO26" i="3" s="1"/>
  <c r="BC26" i="3"/>
  <c r="BD26" i="3"/>
  <c r="BE26" i="3"/>
  <c r="BF26" i="3"/>
  <c r="BE33" i="3"/>
  <c r="BF33" i="3"/>
  <c r="BB33" i="3"/>
  <c r="BO33" i="3" s="1"/>
  <c r="BC33" i="3"/>
  <c r="BD33" i="3"/>
  <c r="BD38" i="3"/>
  <c r="BE38" i="3"/>
  <c r="BF38" i="3"/>
  <c r="BB38" i="3"/>
  <c r="BO38" i="3" s="1"/>
  <c r="BC38" i="3"/>
  <c r="BJ20" i="3"/>
  <c r="BK20" i="3" s="1"/>
  <c r="BL20" i="3" s="1"/>
  <c r="BB34" i="3"/>
  <c r="BO34" i="3" s="1"/>
  <c r="BC34" i="3"/>
  <c r="BD34" i="3"/>
  <c r="BE34" i="3"/>
  <c r="BF34" i="3"/>
  <c r="BB21" i="3"/>
  <c r="BO21" i="3" s="1"/>
  <c r="BC21" i="3"/>
  <c r="BD21" i="3"/>
  <c r="BE21" i="3"/>
  <c r="BF21" i="3"/>
  <c r="AE26" i="3"/>
  <c r="AF26" i="3" s="1"/>
  <c r="AM26" i="3" s="1"/>
  <c r="BB37" i="3"/>
  <c r="BO37" i="3" s="1"/>
  <c r="BC37" i="3"/>
  <c r="BD37" i="3"/>
  <c r="BE37" i="3"/>
  <c r="BF37" i="3"/>
  <c r="BA42" i="3"/>
  <c r="BG42" i="3"/>
  <c r="BH42" i="3" s="1"/>
  <c r="BQ42" i="3" s="1"/>
  <c r="BI42" i="3"/>
  <c r="BJ42" i="3" s="1"/>
  <c r="BK42" i="3" s="1"/>
  <c r="BL42" i="3" s="1"/>
  <c r="BF44" i="3"/>
  <c r="BB44" i="3"/>
  <c r="BC44" i="3"/>
  <c r="BD44" i="3"/>
  <c r="BE44" i="3"/>
  <c r="BF20" i="3"/>
  <c r="BB20" i="3"/>
  <c r="BO20" i="3" s="1"/>
  <c r="BC20" i="3"/>
  <c r="BD20" i="3"/>
  <c r="BE20" i="3"/>
  <c r="BA46" i="3"/>
  <c r="BI46" i="3"/>
  <c r="BJ46" i="3" s="1"/>
  <c r="BK46" i="3" s="1"/>
  <c r="BL46" i="3" s="1"/>
  <c r="BE25" i="3"/>
  <c r="BF25" i="3"/>
  <c r="BB25" i="3"/>
  <c r="BO25" i="3" s="1"/>
  <c r="BC25" i="3"/>
  <c r="BD25" i="3"/>
  <c r="BD22" i="3"/>
  <c r="BE22" i="3"/>
  <c r="BF22" i="3"/>
  <c r="BB22" i="3"/>
  <c r="BC22" i="3"/>
  <c r="BA28" i="3"/>
  <c r="BI28" i="3"/>
  <c r="BJ28" i="3" s="1"/>
  <c r="BK28" i="3" s="1"/>
  <c r="BL28" i="3" s="1"/>
  <c r="BG28" i="3"/>
  <c r="BH28" i="3" s="1"/>
  <c r="BQ28" i="3" s="1"/>
  <c r="AO31" i="3"/>
  <c r="BA31" i="3" s="1"/>
  <c r="AD47" i="3"/>
  <c r="AG47" i="3" s="1"/>
  <c r="AH47" i="3" s="1"/>
  <c r="AI47" i="3" s="1"/>
  <c r="AN47" i="3" s="1"/>
  <c r="AE47" i="3"/>
  <c r="AF47" i="3" s="1"/>
  <c r="AM47" i="3" s="1"/>
  <c r="AO36" i="3"/>
  <c r="BG36" i="3" s="1"/>
  <c r="BH36" i="3" s="1"/>
  <c r="BQ36" i="3" s="1"/>
  <c r="BI21" i="3"/>
  <c r="BJ21" i="3" s="1"/>
  <c r="BK21" i="3" s="1"/>
  <c r="BL21" i="3" s="1"/>
  <c r="BG21" i="3"/>
  <c r="BH21" i="3" s="1"/>
  <c r="BQ21" i="3" s="1"/>
  <c r="BP47" i="3"/>
  <c r="P30" i="3"/>
  <c r="BG38" i="3"/>
  <c r="BH38" i="3" s="1"/>
  <c r="BQ38" i="3" s="1"/>
  <c r="BI38" i="3"/>
  <c r="BJ38" i="3" s="1"/>
  <c r="BK38" i="3" s="1"/>
  <c r="BL38" i="3" s="1"/>
  <c r="BG33" i="3"/>
  <c r="BH33" i="3" s="1"/>
  <c r="BQ33" i="3" s="1"/>
  <c r="BI33" i="3"/>
  <c r="BJ33" i="3" s="1"/>
  <c r="BK33" i="3" s="1"/>
  <c r="BL33" i="3" s="1"/>
  <c r="BI37" i="3"/>
  <c r="BJ37" i="3" s="1"/>
  <c r="BK37" i="3" s="1"/>
  <c r="BL37" i="3" s="1"/>
  <c r="P36" i="3"/>
  <c r="Z36" i="3"/>
  <c r="X36" i="3"/>
  <c r="Y36" i="3" s="1"/>
  <c r="Z40" i="3"/>
  <c r="V43" i="3"/>
  <c r="W43" i="3" s="1"/>
  <c r="AJ43" i="3"/>
  <c r="BG44" i="3"/>
  <c r="BH44" i="3" s="1"/>
  <c r="BQ44" i="3" s="1"/>
  <c r="BI44" i="3"/>
  <c r="BJ44" i="3" s="1"/>
  <c r="BK44" i="3" s="1"/>
  <c r="BL44" i="3" s="1"/>
  <c r="AO30" i="3"/>
  <c r="BA30" i="3" s="1"/>
  <c r="AO29" i="3"/>
  <c r="BA29" i="3" s="1"/>
  <c r="BG34" i="3"/>
  <c r="BH34" i="3" s="1"/>
  <c r="BQ34" i="3" s="1"/>
  <c r="BI34" i="3"/>
  <c r="BJ34" i="3" s="1"/>
  <c r="BK34" i="3" s="1"/>
  <c r="BL34" i="3" s="1"/>
  <c r="X40" i="3"/>
  <c r="Y40" i="3" s="1"/>
  <c r="AE40" i="3" s="1"/>
  <c r="AF40" i="3" s="1"/>
  <c r="AM40" i="3" s="1"/>
  <c r="AO27" i="3"/>
  <c r="BA27" i="3" s="1"/>
  <c r="X33" i="3"/>
  <c r="P33" i="3"/>
  <c r="Z33" i="3"/>
  <c r="AD21" i="3"/>
  <c r="AG21" i="3" s="1"/>
  <c r="BG37" i="3"/>
  <c r="BH37" i="3" s="1"/>
  <c r="BQ37" i="3" s="1"/>
  <c r="AO19" i="3"/>
  <c r="BA19" i="3" s="1"/>
  <c r="BI26" i="3"/>
  <c r="BJ26" i="3" s="1"/>
  <c r="BK26" i="3" s="1"/>
  <c r="BL26" i="3" s="1"/>
  <c r="BG26" i="3"/>
  <c r="BH26" i="3" s="1"/>
  <c r="BQ26" i="3" s="1"/>
  <c r="BG25" i="3"/>
  <c r="BH25" i="3" s="1"/>
  <c r="BQ25" i="3" s="1"/>
  <c r="BI25" i="3"/>
  <c r="BJ25" i="3" s="1"/>
  <c r="BK25" i="3" s="1"/>
  <c r="BL25" i="3" s="1"/>
  <c r="AO39" i="3"/>
  <c r="BA39" i="3" s="1"/>
  <c r="X23" i="3"/>
  <c r="Y23" i="3" s="1"/>
  <c r="AD23" i="3" s="1"/>
  <c r="AG23" i="3" s="1"/>
  <c r="BI41" i="3"/>
  <c r="BJ41" i="3" s="1"/>
  <c r="BK41" i="3" s="1"/>
  <c r="BL41" i="3" s="1"/>
  <c r="BG41" i="3"/>
  <c r="BH41" i="3" s="1"/>
  <c r="BQ41" i="3" s="1"/>
  <c r="N43" i="3"/>
  <c r="O43" i="3" s="1"/>
  <c r="X43" i="3" s="1"/>
  <c r="Y43" i="3" s="1"/>
  <c r="AE43" i="3" s="1"/>
  <c r="AF43" i="3" s="1"/>
  <c r="AM43" i="3" s="1"/>
  <c r="V19" i="3"/>
  <c r="W19" i="3" s="1"/>
  <c r="AJ19" i="3"/>
  <c r="Z23" i="3"/>
  <c r="AO23" i="3"/>
  <c r="BA23" i="3" s="1"/>
  <c r="Z24" i="3"/>
  <c r="P24" i="3"/>
  <c r="AO32" i="3"/>
  <c r="BA32" i="3" s="1"/>
  <c r="P32" i="3"/>
  <c r="X32" i="3"/>
  <c r="Y32" i="3" s="1"/>
  <c r="AE32" i="3" s="1"/>
  <c r="AF32" i="3" s="1"/>
  <c r="Z32" i="3"/>
  <c r="AM44" i="3"/>
  <c r="AM21" i="3"/>
  <c r="AB43" i="3"/>
  <c r="BG40" i="3"/>
  <c r="BH40" i="3" s="1"/>
  <c r="BQ40" i="3" s="1"/>
  <c r="BI40" i="3"/>
  <c r="BJ40" i="3" s="1"/>
  <c r="BK40" i="3" s="1"/>
  <c r="BL40" i="3" s="1"/>
  <c r="X39" i="3"/>
  <c r="Y39" i="3" s="1"/>
  <c r="Z39" i="3"/>
  <c r="P39" i="3"/>
  <c r="AM20" i="3"/>
  <c r="BP35" i="3"/>
  <c r="X31" i="3"/>
  <c r="Y31" i="3" s="1"/>
  <c r="AE31" i="3" s="1"/>
  <c r="AF31" i="3" s="1"/>
  <c r="Z31" i="3"/>
  <c r="P31" i="3"/>
  <c r="BI30" i="3"/>
  <c r="BJ30" i="3" s="1"/>
  <c r="BK30" i="3" s="1"/>
  <c r="BL30" i="3" s="1"/>
  <c r="Z29" i="3"/>
  <c r="X29" i="3"/>
  <c r="Y29" i="3" s="1"/>
  <c r="AE29" i="3" s="1"/>
  <c r="AF29" i="3" s="1"/>
  <c r="P29" i="3"/>
  <c r="AM27" i="3"/>
  <c r="AB27" i="3"/>
  <c r="Z19" i="3"/>
  <c r="X19" i="3"/>
  <c r="Y19" i="3" s="1"/>
  <c r="AN48" i="3"/>
  <c r="AN40" i="3"/>
  <c r="AM46" i="3"/>
  <c r="AN46" i="3"/>
  <c r="AN35" i="3"/>
  <c r="AM35" i="3"/>
  <c r="AN23" i="3"/>
  <c r="AM39" i="3"/>
  <c r="AN25" i="3"/>
  <c r="AM25" i="3"/>
  <c r="AN36" i="3"/>
  <c r="BP45" i="3"/>
  <c r="AN43" i="3"/>
  <c r="P27" i="3"/>
  <c r="W27" i="3"/>
  <c r="AN19" i="3"/>
  <c r="P19" i="3"/>
  <c r="W18" i="3"/>
  <c r="N18" i="3"/>
  <c r="BP20" i="3"/>
  <c r="BB40" i="3" l="1"/>
  <c r="BI31" i="3"/>
  <c r="BJ31" i="3" s="1"/>
  <c r="BK31" i="3" s="1"/>
  <c r="BL31" i="3" s="1"/>
  <c r="BG31" i="3"/>
  <c r="BH31" i="3" s="1"/>
  <c r="BQ31" i="3" s="1"/>
  <c r="BI36" i="3"/>
  <c r="BJ36" i="3" s="1"/>
  <c r="BK36" i="3" s="1"/>
  <c r="BL36" i="3" s="1"/>
  <c r="Z43" i="3"/>
  <c r="P43" i="3"/>
  <c r="BO22" i="3"/>
  <c r="BP22" i="3" s="1"/>
  <c r="BA24" i="3"/>
  <c r="BI24" i="3"/>
  <c r="BJ24" i="3" s="1"/>
  <c r="BK24" i="3" s="1"/>
  <c r="BL24" i="3" s="1"/>
  <c r="BG24" i="3"/>
  <c r="BH24" i="3" s="1"/>
  <c r="BQ24" i="3" s="1"/>
  <c r="BI48" i="3"/>
  <c r="BJ48" i="3" s="1"/>
  <c r="BK48" i="3" s="1"/>
  <c r="BL48" i="3" s="1"/>
  <c r="BG48" i="3"/>
  <c r="BH48" i="3" s="1"/>
  <c r="BQ48" i="3" s="1"/>
  <c r="BA48" i="3"/>
  <c r="AO43" i="3"/>
  <c r="BA43" i="3" s="1"/>
  <c r="BF43" i="3" s="1"/>
  <c r="AE48" i="3"/>
  <c r="AF48" i="3" s="1"/>
  <c r="AM48" i="3" s="1"/>
  <c r="BB29" i="3"/>
  <c r="BO29" i="3" s="1"/>
  <c r="BC29" i="3"/>
  <c r="BD29" i="3"/>
  <c r="BE29" i="3"/>
  <c r="BF29" i="3"/>
  <c r="BD30" i="3"/>
  <c r="BE30" i="3"/>
  <c r="BF30" i="3"/>
  <c r="BB30" i="3"/>
  <c r="BO30" i="3" s="1"/>
  <c r="BP30" i="3" s="1"/>
  <c r="BC30" i="3"/>
  <c r="BC43" i="3"/>
  <c r="BD46" i="3"/>
  <c r="BE46" i="3"/>
  <c r="BF46" i="3"/>
  <c r="BB46" i="3"/>
  <c r="BC46" i="3"/>
  <c r="BB32" i="3"/>
  <c r="BO32" i="3" s="1"/>
  <c r="BC32" i="3"/>
  <c r="BD32" i="3"/>
  <c r="BE32" i="3"/>
  <c r="BF32" i="3"/>
  <c r="BC27" i="3"/>
  <c r="BD27" i="3"/>
  <c r="BE27" i="3"/>
  <c r="BF27" i="3"/>
  <c r="BB27" i="3"/>
  <c r="BO27" i="3" s="1"/>
  <c r="BB42" i="3"/>
  <c r="BP42" i="3" s="1"/>
  <c r="BC42" i="3"/>
  <c r="BD42" i="3"/>
  <c r="BE42" i="3"/>
  <c r="BF42" i="3"/>
  <c r="BB23" i="3"/>
  <c r="BO23" i="3" s="1"/>
  <c r="BC23" i="3"/>
  <c r="BD23" i="3"/>
  <c r="BE23" i="3"/>
  <c r="BF23" i="3"/>
  <c r="BC19" i="3"/>
  <c r="BD19" i="3"/>
  <c r="BE19" i="3"/>
  <c r="BF19" i="3"/>
  <c r="BB19" i="3"/>
  <c r="BO19" i="3" s="1"/>
  <c r="BB31" i="3"/>
  <c r="BO31" i="3" s="1"/>
  <c r="BP31" i="3" s="1"/>
  <c r="BC31" i="3"/>
  <c r="BD31" i="3"/>
  <c r="BE31" i="3"/>
  <c r="BF31" i="3"/>
  <c r="BF28" i="3"/>
  <c r="BB28" i="3"/>
  <c r="BC28" i="3"/>
  <c r="BD28" i="3"/>
  <c r="BE28" i="3"/>
  <c r="BB39" i="3"/>
  <c r="BC39" i="3"/>
  <c r="BD39" i="3"/>
  <c r="BE39" i="3"/>
  <c r="BF39" i="3"/>
  <c r="BP38" i="3"/>
  <c r="AE23" i="3"/>
  <c r="AF23" i="3" s="1"/>
  <c r="AM23" i="3" s="1"/>
  <c r="BP21" i="3"/>
  <c r="BG23" i="3"/>
  <c r="BH23" i="3" s="1"/>
  <c r="BQ23" i="3" s="1"/>
  <c r="BI23" i="3"/>
  <c r="BJ23" i="3" s="1"/>
  <c r="BK23" i="3" s="1"/>
  <c r="BL23" i="3" s="1"/>
  <c r="BP25" i="3"/>
  <c r="O18" i="3"/>
  <c r="AO18" i="3" s="1"/>
  <c r="BG18" i="3" s="1"/>
  <c r="BH18" i="3" s="1"/>
  <c r="BQ18" i="3" s="1"/>
  <c r="BP37" i="3"/>
  <c r="BP41" i="3"/>
  <c r="BP36" i="3"/>
  <c r="BP34" i="3"/>
  <c r="BP26" i="3"/>
  <c r="BP44" i="3"/>
  <c r="BG30" i="3"/>
  <c r="BH30" i="3" s="1"/>
  <c r="BQ30" i="3" s="1"/>
  <c r="BP33" i="3"/>
  <c r="BG32" i="3"/>
  <c r="BH32" i="3" s="1"/>
  <c r="BQ32" i="3" s="1"/>
  <c r="BI32" i="3"/>
  <c r="BJ32" i="3" s="1"/>
  <c r="BK32" i="3" s="1"/>
  <c r="BL32" i="3" s="1"/>
  <c r="BP40" i="3"/>
  <c r="BG39" i="3"/>
  <c r="BH39" i="3" s="1"/>
  <c r="BQ39" i="3" s="1"/>
  <c r="BI39" i="3"/>
  <c r="BJ39" i="3" s="1"/>
  <c r="BK39" i="3" s="1"/>
  <c r="BL39" i="3" s="1"/>
  <c r="AM29" i="3"/>
  <c r="BG29" i="3"/>
  <c r="BH29" i="3" s="1"/>
  <c r="BQ29" i="3" s="1"/>
  <c r="BI29" i="3"/>
  <c r="BJ29" i="3" s="1"/>
  <c r="BK29" i="3" s="1"/>
  <c r="BL29" i="3" s="1"/>
  <c r="AD19" i="3"/>
  <c r="AG19" i="3" s="1"/>
  <c r="AE19" i="3"/>
  <c r="AF19" i="3" s="1"/>
  <c r="AM31" i="3"/>
  <c r="AM32" i="3"/>
  <c r="AG43" i="3"/>
  <c r="BG43" i="3"/>
  <c r="BH43" i="3" s="1"/>
  <c r="BQ43" i="3" s="1"/>
  <c r="BI43" i="3"/>
  <c r="BJ43" i="3" s="1"/>
  <c r="BK43" i="3" s="1"/>
  <c r="BL43" i="3" s="1"/>
  <c r="BG19" i="3"/>
  <c r="BH19" i="3" s="1"/>
  <c r="BQ19" i="3" s="1"/>
  <c r="BI19" i="3"/>
  <c r="BJ19" i="3" s="1"/>
  <c r="BK19" i="3" s="1"/>
  <c r="BL19" i="3" s="1"/>
  <c r="AG27" i="3"/>
  <c r="AH27" i="3" s="1"/>
  <c r="AI27" i="3" s="1"/>
  <c r="AN27" i="3" s="1"/>
  <c r="BI27" i="3"/>
  <c r="BJ27" i="3" s="1"/>
  <c r="BK27" i="3" s="1"/>
  <c r="BL27" i="3" s="1"/>
  <c r="BG27" i="3"/>
  <c r="BH27" i="3" s="1"/>
  <c r="BQ27" i="3" s="1"/>
  <c r="AN18" i="3"/>
  <c r="AM18" i="3"/>
  <c r="BR49" i="3"/>
  <c r="P50" i="3"/>
  <c r="AE50" i="3"/>
  <c r="BQ50" i="3"/>
  <c r="BO50" i="3"/>
  <c r="BP50" i="3"/>
  <c r="BI50" i="3"/>
  <c r="BJ50" i="3"/>
  <c r="BK50" i="3"/>
  <c r="BL50" i="3"/>
  <c r="BH50" i="3"/>
  <c r="BA50" i="3"/>
  <c r="BB50" i="3"/>
  <c r="BC50" i="3"/>
  <c r="BD50" i="3"/>
  <c r="BE50" i="3"/>
  <c r="BF50" i="3"/>
  <c r="AO50" i="3"/>
  <c r="Z50" i="3"/>
  <c r="AA50" i="3"/>
  <c r="X50" i="3"/>
  <c r="R50" i="3"/>
  <c r="E50" i="3"/>
  <c r="H39" i="1"/>
  <c r="H12" i="1"/>
  <c r="H34" i="1"/>
  <c r="H32" i="1"/>
  <c r="H26" i="1"/>
  <c r="H24" i="1"/>
  <c r="H84" i="1"/>
  <c r="H83" i="1"/>
  <c r="H82" i="1"/>
  <c r="H76" i="1"/>
  <c r="H75" i="1"/>
  <c r="H74" i="1"/>
  <c r="H73" i="1"/>
  <c r="H72" i="1"/>
  <c r="H71" i="1"/>
  <c r="H18" i="1"/>
  <c r="I6" i="3"/>
  <c r="I7" i="3"/>
  <c r="I8" i="3"/>
  <c r="I9" i="3"/>
  <c r="I10" i="3"/>
  <c r="I11" i="3"/>
  <c r="I12" i="3"/>
  <c r="I13" i="3"/>
  <c r="I14" i="3"/>
  <c r="I15" i="3"/>
  <c r="I16" i="3"/>
  <c r="I5" i="3"/>
  <c r="F6" i="3"/>
  <c r="E6" i="3" s="1"/>
  <c r="F7" i="3"/>
  <c r="E7" i="3" s="1"/>
  <c r="F8" i="3"/>
  <c r="E8" i="3" s="1"/>
  <c r="F9" i="3"/>
  <c r="E9" i="3" s="1"/>
  <c r="F10" i="3"/>
  <c r="E10" i="3" s="1"/>
  <c r="F11" i="3"/>
  <c r="E11" i="3" s="1"/>
  <c r="F12" i="3"/>
  <c r="E12" i="3" s="1"/>
  <c r="F13" i="3"/>
  <c r="E13" i="3" s="1"/>
  <c r="F14" i="3"/>
  <c r="E14" i="3" s="1"/>
  <c r="F15" i="3"/>
  <c r="E15" i="3" s="1"/>
  <c r="F16" i="3"/>
  <c r="E16" i="3" s="1"/>
  <c r="F5" i="3"/>
  <c r="B6" i="3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D43" i="3" l="1"/>
  <c r="X18" i="3"/>
  <c r="Y18" i="3" s="1"/>
  <c r="AD18" i="3" s="1"/>
  <c r="BB43" i="3"/>
  <c r="BE43" i="3"/>
  <c r="BO28" i="3"/>
  <c r="BP28" i="3" s="1"/>
  <c r="BO46" i="3"/>
  <c r="BP46" i="3" s="1"/>
  <c r="BB24" i="3"/>
  <c r="BO24" i="3" s="1"/>
  <c r="BP24" i="3" s="1"/>
  <c r="BE24" i="3"/>
  <c r="BC24" i="3"/>
  <c r="BD24" i="3"/>
  <c r="BF24" i="3"/>
  <c r="BD48" i="3"/>
  <c r="BB48" i="3"/>
  <c r="BC48" i="3"/>
  <c r="BE48" i="3"/>
  <c r="BF48" i="3"/>
  <c r="P18" i="3"/>
  <c r="Z18" i="3"/>
  <c r="BP23" i="3"/>
  <c r="BP19" i="3"/>
  <c r="E5" i="3"/>
  <c r="E49" i="3" s="1"/>
  <c r="F49" i="3"/>
  <c r="Q12" i="3"/>
  <c r="T12" i="3" s="1"/>
  <c r="J12" i="3"/>
  <c r="Q16" i="3"/>
  <c r="J16" i="3"/>
  <c r="Q8" i="3"/>
  <c r="J8" i="3"/>
  <c r="BP29" i="3"/>
  <c r="AM19" i="3"/>
  <c r="Q14" i="3"/>
  <c r="J14" i="3"/>
  <c r="Q13" i="3"/>
  <c r="J13" i="3"/>
  <c r="J7" i="3"/>
  <c r="Q7" i="3"/>
  <c r="J15" i="3"/>
  <c r="Q15" i="3"/>
  <c r="Q6" i="3"/>
  <c r="J6" i="3"/>
  <c r="Q11" i="3"/>
  <c r="J11" i="3"/>
  <c r="Q10" i="3"/>
  <c r="J10" i="3"/>
  <c r="BP32" i="3"/>
  <c r="Q5" i="3"/>
  <c r="J5" i="3"/>
  <c r="I49" i="3"/>
  <c r="Q9" i="3"/>
  <c r="J9" i="3"/>
  <c r="BP39" i="3"/>
  <c r="BP43" i="3"/>
  <c r="BI18" i="3"/>
  <c r="BJ18" i="3" s="1"/>
  <c r="BK18" i="3" s="1"/>
  <c r="BL18" i="3" s="1"/>
  <c r="BP27" i="3"/>
  <c r="AG18" i="3"/>
  <c r="BO48" i="3" l="1"/>
  <c r="BP48" i="3" s="1"/>
  <c r="AA13" i="3"/>
  <c r="AL13" i="3" s="1"/>
  <c r="R13" i="3"/>
  <c r="S13" i="3"/>
  <c r="M5" i="3"/>
  <c r="K5" i="3"/>
  <c r="J49" i="3"/>
  <c r="K14" i="3"/>
  <c r="AK14" i="3" s="1"/>
  <c r="M14" i="3"/>
  <c r="M16" i="3"/>
  <c r="K16" i="3"/>
  <c r="AK16" i="3" s="1"/>
  <c r="U5" i="3"/>
  <c r="S5" i="3"/>
  <c r="R5" i="3"/>
  <c r="AA14" i="3"/>
  <c r="AL14" i="3" s="1"/>
  <c r="U14" i="3"/>
  <c r="S14" i="3"/>
  <c r="R14" i="3"/>
  <c r="U15" i="3"/>
  <c r="R15" i="3"/>
  <c r="S15" i="3"/>
  <c r="K12" i="3"/>
  <c r="AK12" i="3" s="1"/>
  <c r="M12" i="3"/>
  <c r="T13" i="3"/>
  <c r="K10" i="3"/>
  <c r="AK10" i="3" s="1"/>
  <c r="M10" i="3"/>
  <c r="AA9" i="3"/>
  <c r="AL9" i="3" s="1"/>
  <c r="S9" i="3"/>
  <c r="R9" i="3"/>
  <c r="M11" i="3"/>
  <c r="K11" i="3"/>
  <c r="AK11" i="3" s="1"/>
  <c r="K13" i="3"/>
  <c r="AK13" i="3" s="1"/>
  <c r="M13" i="3"/>
  <c r="K8" i="3"/>
  <c r="AK8" i="3" s="1"/>
  <c r="M8" i="3"/>
  <c r="AA11" i="3"/>
  <c r="AL11" i="3" s="1"/>
  <c r="S11" i="3"/>
  <c r="R11" i="3"/>
  <c r="AA8" i="3"/>
  <c r="AL8" i="3" s="1"/>
  <c r="R8" i="3"/>
  <c r="S8" i="3"/>
  <c r="K6" i="3"/>
  <c r="AK6" i="3" s="1"/>
  <c r="M6" i="3"/>
  <c r="AA6" i="3"/>
  <c r="AL6" i="3" s="1"/>
  <c r="R6" i="3"/>
  <c r="S6" i="3"/>
  <c r="AA16" i="3"/>
  <c r="AL16" i="3" s="1"/>
  <c r="U16" i="3"/>
  <c r="R16" i="3"/>
  <c r="S16" i="3"/>
  <c r="M15" i="3"/>
  <c r="K15" i="3"/>
  <c r="AK15" i="3" s="1"/>
  <c r="AA12" i="3"/>
  <c r="AL12" i="3" s="1"/>
  <c r="R12" i="3"/>
  <c r="S12" i="3"/>
  <c r="R7" i="3"/>
  <c r="S7" i="3"/>
  <c r="K9" i="3"/>
  <c r="AK9" i="3" s="1"/>
  <c r="M9" i="3"/>
  <c r="AA10" i="3"/>
  <c r="AL10" i="3" s="1"/>
  <c r="S10" i="3"/>
  <c r="R10" i="3"/>
  <c r="M7" i="3"/>
  <c r="K7" i="3"/>
  <c r="AK7" i="3" s="1"/>
  <c r="BP18" i="3"/>
  <c r="T5" i="3"/>
  <c r="Q49" i="3"/>
  <c r="T14" i="3"/>
  <c r="T8" i="3"/>
  <c r="T16" i="3"/>
  <c r="T11" i="3"/>
  <c r="T7" i="3"/>
  <c r="T9" i="3"/>
  <c r="T6" i="3"/>
  <c r="T10" i="3"/>
  <c r="T15" i="3"/>
  <c r="BM50" i="3"/>
  <c r="BN50" i="3"/>
  <c r="BR50" i="3"/>
  <c r="J50" i="3"/>
  <c r="K50" i="3"/>
  <c r="L50" i="3"/>
  <c r="M50" i="3"/>
  <c r="N50" i="3"/>
  <c r="O50" i="3"/>
  <c r="N5" i="3" l="1"/>
  <c r="O5" i="3" s="1"/>
  <c r="AO5" i="3" s="1"/>
  <c r="BA5" i="3" s="1"/>
  <c r="V16" i="3"/>
  <c r="W16" i="3" s="1"/>
  <c r="AJ16" i="3"/>
  <c r="V14" i="3"/>
  <c r="W14" i="3" s="1"/>
  <c r="AJ14" i="3"/>
  <c r="K49" i="3"/>
  <c r="AK5" i="3"/>
  <c r="V5" i="3"/>
  <c r="AJ5" i="3"/>
  <c r="V15" i="3"/>
  <c r="W15" i="3" s="1"/>
  <c r="AJ15" i="3"/>
  <c r="N8" i="3"/>
  <c r="O8" i="3" s="1"/>
  <c r="N13" i="3"/>
  <c r="O13" i="3" s="1"/>
  <c r="N16" i="3"/>
  <c r="O16" i="3" s="1"/>
  <c r="N11" i="3"/>
  <c r="O11" i="3" s="1"/>
  <c r="N12" i="3"/>
  <c r="O12" i="3" s="1"/>
  <c r="N6" i="3"/>
  <c r="O6" i="3" s="1"/>
  <c r="AO6" i="3" s="1"/>
  <c r="BA6" i="3" s="1"/>
  <c r="N10" i="3"/>
  <c r="O10" i="3" s="1"/>
  <c r="N9" i="3"/>
  <c r="O9" i="3" s="1"/>
  <c r="N14" i="3"/>
  <c r="O14" i="3" s="1"/>
  <c r="T49" i="3"/>
  <c r="R49" i="3"/>
  <c r="H81" i="1"/>
  <c r="H49" i="1"/>
  <c r="H20" i="1"/>
  <c r="H21" i="1"/>
  <c r="H22" i="1"/>
  <c r="H23" i="1"/>
  <c r="H19" i="1"/>
  <c r="BD6" i="3" l="1"/>
  <c r="BE6" i="3"/>
  <c r="BF6" i="3"/>
  <c r="BB6" i="3"/>
  <c r="BO6" i="3" s="1"/>
  <c r="BC6" i="3"/>
  <c r="AO8" i="3"/>
  <c r="BG8" i="3" s="1"/>
  <c r="BH8" i="3" s="1"/>
  <c r="BQ8" i="3" s="1"/>
  <c r="AO13" i="3"/>
  <c r="BA13" i="3" s="1"/>
  <c r="BC5" i="3"/>
  <c r="BB5" i="3"/>
  <c r="BO5" i="3" s="1"/>
  <c r="BF5" i="3"/>
  <c r="BD5" i="3"/>
  <c r="BE5" i="3"/>
  <c r="AO9" i="3"/>
  <c r="AO14" i="3"/>
  <c r="BA14" i="3" s="1"/>
  <c r="AO11" i="3"/>
  <c r="BA11" i="3" s="1"/>
  <c r="AO16" i="3"/>
  <c r="AJ49" i="3"/>
  <c r="I44" i="1" s="1"/>
  <c r="AO10" i="3"/>
  <c r="AO12" i="3"/>
  <c r="BA12" i="3" s="1"/>
  <c r="Z9" i="3"/>
  <c r="X9" i="3"/>
  <c r="Y9" i="3" s="1"/>
  <c r="AD9" i="3" s="1"/>
  <c r="P9" i="3"/>
  <c r="BG10" i="3"/>
  <c r="BH10" i="3" s="1"/>
  <c r="BQ10" i="3" s="1"/>
  <c r="Z10" i="3"/>
  <c r="X10" i="3"/>
  <c r="Y10" i="3" s="1"/>
  <c r="AD10" i="3" s="1"/>
  <c r="P10" i="3"/>
  <c r="X5" i="3"/>
  <c r="Z5" i="3"/>
  <c r="P6" i="3"/>
  <c r="Z6" i="3"/>
  <c r="X6" i="3"/>
  <c r="Y6" i="3" s="1"/>
  <c r="AD6" i="3" s="1"/>
  <c r="Z11" i="3"/>
  <c r="X11" i="3"/>
  <c r="Y11" i="3" s="1"/>
  <c r="AD11" i="3" s="1"/>
  <c r="P11" i="3"/>
  <c r="Z16" i="3"/>
  <c r="X16" i="3"/>
  <c r="Y16" i="3" s="1"/>
  <c r="AD16" i="3" s="1"/>
  <c r="P16" i="3"/>
  <c r="BG6" i="3"/>
  <c r="BH6" i="3" s="1"/>
  <c r="BQ6" i="3" s="1"/>
  <c r="BI6" i="3"/>
  <c r="BJ6" i="3" s="1"/>
  <c r="BK6" i="3" s="1"/>
  <c r="BL6" i="3" s="1"/>
  <c r="P13" i="3"/>
  <c r="Z13" i="3"/>
  <c r="X13" i="3"/>
  <c r="Y13" i="3" s="1"/>
  <c r="AD13" i="3" s="1"/>
  <c r="Z14" i="3"/>
  <c r="X14" i="3"/>
  <c r="Y14" i="3" s="1"/>
  <c r="AD14" i="3" s="1"/>
  <c r="P14" i="3"/>
  <c r="Z12" i="3"/>
  <c r="X12" i="3"/>
  <c r="Y12" i="3" s="1"/>
  <c r="AD12" i="3" s="1"/>
  <c r="P12" i="3"/>
  <c r="Z8" i="3"/>
  <c r="X8" i="3"/>
  <c r="Y8" i="3" s="1"/>
  <c r="AD8" i="3" s="1"/>
  <c r="P8" i="3"/>
  <c r="P5" i="3"/>
  <c r="H88" i="1"/>
  <c r="H89" i="1"/>
  <c r="H35" i="1"/>
  <c r="BI14" i="3" l="1"/>
  <c r="BJ14" i="3" s="1"/>
  <c r="BK14" i="3" s="1"/>
  <c r="BL14" i="3" s="1"/>
  <c r="BI13" i="3"/>
  <c r="BJ13" i="3" s="1"/>
  <c r="BK13" i="3" s="1"/>
  <c r="BL13" i="3" s="1"/>
  <c r="BG13" i="3"/>
  <c r="BH13" i="3" s="1"/>
  <c r="BQ13" i="3" s="1"/>
  <c r="BF12" i="3"/>
  <c r="BB12" i="3"/>
  <c r="BO12" i="3" s="1"/>
  <c r="BP12" i="3" s="1"/>
  <c r="BC12" i="3"/>
  <c r="BD12" i="3"/>
  <c r="BE12" i="3"/>
  <c r="BI8" i="3"/>
  <c r="BJ8" i="3" s="1"/>
  <c r="BK8" i="3" s="1"/>
  <c r="BL8" i="3" s="1"/>
  <c r="BG14" i="3"/>
  <c r="BH14" i="3" s="1"/>
  <c r="BQ14" i="3" s="1"/>
  <c r="BG16" i="3"/>
  <c r="BH16" i="3" s="1"/>
  <c r="BQ16" i="3" s="1"/>
  <c r="BA16" i="3"/>
  <c r="BC11" i="3"/>
  <c r="BD11" i="3"/>
  <c r="BE11" i="3"/>
  <c r="BF11" i="3"/>
  <c r="BB11" i="3"/>
  <c r="BO11" i="3" s="1"/>
  <c r="BB13" i="3"/>
  <c r="BO13" i="3" s="1"/>
  <c r="BC13" i="3"/>
  <c r="BD13" i="3"/>
  <c r="BE13" i="3"/>
  <c r="BF13" i="3"/>
  <c r="BD14" i="3"/>
  <c r="BE14" i="3"/>
  <c r="BF14" i="3"/>
  <c r="BB14" i="3"/>
  <c r="BO14" i="3" s="1"/>
  <c r="BC14" i="3"/>
  <c r="BI12" i="3"/>
  <c r="BJ12" i="3" s="1"/>
  <c r="BK12" i="3" s="1"/>
  <c r="BL12" i="3" s="1"/>
  <c r="BI10" i="3"/>
  <c r="BJ10" i="3" s="1"/>
  <c r="BK10" i="3" s="1"/>
  <c r="BL10" i="3" s="1"/>
  <c r="BA10" i="3"/>
  <c r="BG12" i="3"/>
  <c r="BH12" i="3" s="1"/>
  <c r="BQ12" i="3" s="1"/>
  <c r="BI16" i="3"/>
  <c r="BJ16" i="3" s="1"/>
  <c r="BK16" i="3" s="1"/>
  <c r="BL16" i="3" s="1"/>
  <c r="BG9" i="3"/>
  <c r="BI9" i="3"/>
  <c r="BJ9" i="3" s="1"/>
  <c r="BK9" i="3" s="1"/>
  <c r="BL9" i="3" s="1"/>
  <c r="BI11" i="3"/>
  <c r="BJ11" i="3" s="1"/>
  <c r="BK11" i="3" s="1"/>
  <c r="BL11" i="3" s="1"/>
  <c r="BG11" i="3"/>
  <c r="BP13" i="3"/>
  <c r="BP14" i="3"/>
  <c r="BP8" i="3"/>
  <c r="BP6" i="3"/>
  <c r="BM8" i="3"/>
  <c r="BN8" i="3" s="1"/>
  <c r="L8" i="3"/>
  <c r="BM6" i="3"/>
  <c r="BN6" i="3" s="1"/>
  <c r="L6" i="3"/>
  <c r="BM13" i="3"/>
  <c r="BN13" i="3" s="1"/>
  <c r="L13" i="3"/>
  <c r="BM12" i="3"/>
  <c r="BN12" i="3" s="1"/>
  <c r="L12" i="3"/>
  <c r="BM15" i="3"/>
  <c r="BN15" i="3" s="1"/>
  <c r="N15" i="3"/>
  <c r="L15" i="3"/>
  <c r="BM11" i="3"/>
  <c r="BN11" i="3" s="1"/>
  <c r="L11" i="3"/>
  <c r="BM7" i="3"/>
  <c r="BN7" i="3" s="1"/>
  <c r="L7" i="3"/>
  <c r="I18" i="1"/>
  <c r="BM16" i="3"/>
  <c r="BN16" i="3" s="1"/>
  <c r="L16" i="3"/>
  <c r="BM14" i="3"/>
  <c r="BN14" i="3" s="1"/>
  <c r="L14" i="3"/>
  <c r="BM10" i="3"/>
  <c r="BN10" i="3" s="1"/>
  <c r="L10" i="3"/>
  <c r="BM9" i="3"/>
  <c r="BN9" i="3" s="1"/>
  <c r="L9" i="3"/>
  <c r="F50" i="3"/>
  <c r="G50" i="3"/>
  <c r="H50" i="3"/>
  <c r="I50" i="3"/>
  <c r="BS50" i="3"/>
  <c r="AN50" i="3"/>
  <c r="T50" i="3"/>
  <c r="U50" i="3"/>
  <c r="V50" i="3"/>
  <c r="W50" i="3"/>
  <c r="Y50" i="3"/>
  <c r="AB50" i="3"/>
  <c r="AC50" i="3"/>
  <c r="AD50" i="3"/>
  <c r="AF50" i="3"/>
  <c r="AG50" i="3"/>
  <c r="AH50" i="3"/>
  <c r="AI50" i="3"/>
  <c r="AK50" i="3"/>
  <c r="AL50" i="3"/>
  <c r="AM50" i="3"/>
  <c r="S50" i="3"/>
  <c r="Q50" i="3"/>
  <c r="H8" i="3"/>
  <c r="H9" i="3"/>
  <c r="H10" i="3"/>
  <c r="H11" i="3"/>
  <c r="H12" i="3"/>
  <c r="H13" i="3"/>
  <c r="H14" i="3"/>
  <c r="H15" i="3"/>
  <c r="H16" i="3"/>
  <c r="H6" i="3"/>
  <c r="H7" i="3"/>
  <c r="H5" i="3"/>
  <c r="BB16" i="3" l="1"/>
  <c r="BC16" i="3"/>
  <c r="BD16" i="3"/>
  <c r="BE16" i="3"/>
  <c r="BF16" i="3"/>
  <c r="BB10" i="3"/>
  <c r="BC10" i="3"/>
  <c r="BD10" i="3"/>
  <c r="BE10" i="3"/>
  <c r="BF10" i="3"/>
  <c r="BH11" i="3"/>
  <c r="BQ11" i="3" s="1"/>
  <c r="BH9" i="3"/>
  <c r="BQ9" i="3" s="1"/>
  <c r="BP11" i="3"/>
  <c r="H49" i="3"/>
  <c r="BP9" i="3"/>
  <c r="N7" i="3"/>
  <c r="M49" i="3"/>
  <c r="O15" i="3"/>
  <c r="AO15" i="3" s="1"/>
  <c r="I89" i="1"/>
  <c r="BM5" i="3"/>
  <c r="I19" i="1"/>
  <c r="L5" i="3"/>
  <c r="BO10" i="3" l="1"/>
  <c r="BP10" i="3" s="1"/>
  <c r="BO16" i="3"/>
  <c r="BP16" i="3" s="1"/>
  <c r="N49" i="3"/>
  <c r="P15" i="3"/>
  <c r="Z15" i="3"/>
  <c r="X15" i="3"/>
  <c r="Y15" i="3" s="1"/>
  <c r="AD15" i="3" s="1"/>
  <c r="S49" i="3"/>
  <c r="AA49" i="3"/>
  <c r="I35" i="1" s="1"/>
  <c r="O7" i="3"/>
  <c r="AO7" i="3" s="1"/>
  <c r="BA7" i="3" s="1"/>
  <c r="L49" i="3"/>
  <c r="I20" i="1" s="1"/>
  <c r="BN5" i="3"/>
  <c r="BN49" i="3" s="1"/>
  <c r="BM49" i="3"/>
  <c r="I26" i="1"/>
  <c r="G5" i="3"/>
  <c r="G6" i="3"/>
  <c r="G7" i="3"/>
  <c r="G8" i="3"/>
  <c r="G9" i="3"/>
  <c r="G10" i="3"/>
  <c r="G11" i="3"/>
  <c r="G13" i="3"/>
  <c r="G14" i="3"/>
  <c r="G15" i="3"/>
  <c r="G16" i="3"/>
  <c r="G12" i="3"/>
  <c r="BB7" i="3" l="1"/>
  <c r="BC7" i="3"/>
  <c r="BC49" i="3" s="1"/>
  <c r="I65" i="1" s="1"/>
  <c r="BD7" i="3"/>
  <c r="BD49" i="3" s="1"/>
  <c r="I66" i="1" s="1"/>
  <c r="BE7" i="3"/>
  <c r="BE49" i="3" s="1"/>
  <c r="I67" i="1" s="1"/>
  <c r="BF7" i="3"/>
  <c r="BF49" i="3" s="1"/>
  <c r="I68" i="1" s="1"/>
  <c r="Z7" i="3"/>
  <c r="X7" i="3"/>
  <c r="G49" i="3"/>
  <c r="BG15" i="3"/>
  <c r="BI15" i="3"/>
  <c r="P7" i="3"/>
  <c r="P49" i="3" s="1"/>
  <c r="I24" i="1" s="1"/>
  <c r="O49" i="3"/>
  <c r="I21" i="1"/>
  <c r="I81" i="1"/>
  <c r="I22" i="1"/>
  <c r="BS13" i="3"/>
  <c r="BS9" i="3"/>
  <c r="BS16" i="3"/>
  <c r="BS12" i="3"/>
  <c r="BS8" i="3"/>
  <c r="BS15" i="3"/>
  <c r="AG11" i="3"/>
  <c r="BS11" i="3"/>
  <c r="BS7" i="3"/>
  <c r="BS14" i="3"/>
  <c r="BS10" i="3"/>
  <c r="BS6" i="3"/>
  <c r="BS5" i="3"/>
  <c r="U49" i="3"/>
  <c r="I12" i="1"/>
  <c r="H48" i="1"/>
  <c r="H47" i="1"/>
  <c r="H46" i="1"/>
  <c r="H45" i="1"/>
  <c r="H43" i="1"/>
  <c r="H42" i="1"/>
  <c r="H41" i="1"/>
  <c r="H40" i="1"/>
  <c r="H38" i="1"/>
  <c r="H37" i="1"/>
  <c r="H14" i="1"/>
  <c r="BB49" i="3" l="1"/>
  <c r="I64" i="1" s="1"/>
  <c r="BO7" i="3"/>
  <c r="BG7" i="3"/>
  <c r="AO49" i="3"/>
  <c r="BI7" i="3"/>
  <c r="BJ7" i="3" s="1"/>
  <c r="BK7" i="3" s="1"/>
  <c r="BL7" i="3" s="1"/>
  <c r="BS49" i="3"/>
  <c r="AL49" i="3"/>
  <c r="I46" i="1" s="1"/>
  <c r="Z49" i="3"/>
  <c r="X49" i="3"/>
  <c r="I32" i="1" s="1"/>
  <c r="BG5" i="3"/>
  <c r="BI5" i="3"/>
  <c r="BH7" i="3"/>
  <c r="BQ7" i="3" s="1"/>
  <c r="BP15" i="3"/>
  <c r="BH15" i="3"/>
  <c r="BQ15" i="3" s="1"/>
  <c r="BP7" i="3"/>
  <c r="BJ15" i="3"/>
  <c r="BK15" i="3" s="1"/>
  <c r="BL15" i="3" s="1"/>
  <c r="AN12" i="3"/>
  <c r="AM12" i="3"/>
  <c r="AM13" i="3"/>
  <c r="AN13" i="3"/>
  <c r="AM15" i="3"/>
  <c r="AN15" i="3"/>
  <c r="AN16" i="3"/>
  <c r="AM16" i="3"/>
  <c r="AM7" i="3"/>
  <c r="AN7" i="3"/>
  <c r="AN9" i="3"/>
  <c r="AM9" i="3"/>
  <c r="AM6" i="3"/>
  <c r="AN6" i="3"/>
  <c r="AM14" i="3"/>
  <c r="AN14" i="3"/>
  <c r="AN8" i="3"/>
  <c r="AM8" i="3"/>
  <c r="AN11" i="3"/>
  <c r="AM11" i="3"/>
  <c r="AN10" i="3"/>
  <c r="AM10" i="3"/>
  <c r="AG7" i="3"/>
  <c r="AG12" i="3"/>
  <c r="AG10" i="3"/>
  <c r="AG14" i="3"/>
  <c r="AG9" i="3"/>
  <c r="AG13" i="3"/>
  <c r="AG8" i="3"/>
  <c r="AG16" i="3"/>
  <c r="AG15" i="3"/>
  <c r="AG6" i="3"/>
  <c r="AB49" i="3"/>
  <c r="V49" i="3"/>
  <c r="H33" i="1"/>
  <c r="H31" i="1"/>
  <c r="H30" i="1"/>
  <c r="H27" i="1"/>
  <c r="BG49" i="3" l="1"/>
  <c r="BI49" i="3"/>
  <c r="BA49" i="3"/>
  <c r="I63" i="1" s="1"/>
  <c r="I62" i="1" s="1"/>
  <c r="Y49" i="3"/>
  <c r="I33" i="1" s="1"/>
  <c r="I23" i="1"/>
  <c r="I49" i="1"/>
  <c r="I27" i="1"/>
  <c r="W5" i="3"/>
  <c r="I30" i="1"/>
  <c r="W49" i="3" l="1"/>
  <c r="I31" i="1" s="1"/>
  <c r="AK49" i="3"/>
  <c r="AF49" i="3"/>
  <c r="I40" i="1" s="1"/>
  <c r="AC49" i="3"/>
  <c r="I37" i="1" s="1"/>
  <c r="AG5" i="3"/>
  <c r="AG49" i="3" s="1"/>
  <c r="I41" i="1" s="1"/>
  <c r="AD49" i="3"/>
  <c r="I38" i="1" s="1"/>
  <c r="AE49" i="3"/>
  <c r="I39" i="1" s="1"/>
  <c r="BP5" i="3"/>
  <c r="BO49" i="3"/>
  <c r="I82" i="1" s="1"/>
  <c r="AI49" i="3"/>
  <c r="AM5" i="3"/>
  <c r="R10" i="2"/>
  <c r="X8" i="2" s="1"/>
  <c r="X4" i="2" s="1"/>
  <c r="AM49" i="3" l="1"/>
  <c r="I47" i="1" s="1"/>
  <c r="AH49" i="3"/>
  <c r="I42" i="1" s="1"/>
  <c r="BP49" i="3"/>
  <c r="I83" i="1" s="1"/>
  <c r="I45" i="1"/>
  <c r="H36" i="1"/>
  <c r="I36" i="1" s="1"/>
  <c r="H29" i="1"/>
  <c r="I29" i="1" s="1"/>
  <c r="H80" i="1" l="1"/>
  <c r="H28" i="1"/>
  <c r="I28" i="1" s="1"/>
  <c r="H25" i="1"/>
  <c r="I25" i="1" s="1"/>
  <c r="I14" i="1"/>
  <c r="H13" i="1"/>
  <c r="I13" i="1" s="1"/>
  <c r="H11" i="1"/>
  <c r="I11" i="1" s="1"/>
  <c r="AN5" i="3" l="1"/>
  <c r="AN49" i="3" s="1"/>
  <c r="I10" i="1"/>
  <c r="I9" i="1" s="1"/>
  <c r="I43" i="1" l="1"/>
  <c r="I88" i="1"/>
  <c r="I87" i="1" s="1"/>
  <c r="I86" i="1" s="1"/>
  <c r="I80" i="1"/>
  <c r="I48" i="1"/>
  <c r="I34" i="1"/>
  <c r="I17" i="1" l="1"/>
  <c r="I71" i="1"/>
  <c r="BH5" i="3"/>
  <c r="BQ5" i="3" l="1"/>
  <c r="BH49" i="3"/>
  <c r="I72" i="1" s="1"/>
  <c r="BQ49" i="3" l="1"/>
  <c r="I84" i="1" s="1"/>
  <c r="I79" i="1" s="1"/>
  <c r="I78" i="1" s="1"/>
  <c r="BJ5" i="3"/>
  <c r="BJ49" i="3" s="1"/>
  <c r="I73" i="1"/>
  <c r="BK5" i="3" l="1"/>
  <c r="BK49" i="3" s="1"/>
  <c r="I74" i="1"/>
  <c r="BL5" i="3" l="1"/>
  <c r="I75" i="1"/>
  <c r="BL49" i="3" l="1"/>
  <c r="I76" i="1" s="1"/>
  <c r="I70" i="1" s="1"/>
  <c r="I16" i="1" l="1"/>
  <c r="I91" i="1" s="1"/>
</calcChain>
</file>

<file path=xl/sharedStrings.xml><?xml version="1.0" encoding="utf-8"?>
<sst xmlns="http://schemas.openxmlformats.org/spreadsheetml/2006/main" count="567" uniqueCount="408">
  <si>
    <t>BDI</t>
  </si>
  <si>
    <t>ITEM</t>
  </si>
  <si>
    <t>CÓDIGO</t>
  </si>
  <si>
    <t>ORIGEM</t>
  </si>
  <si>
    <t>UND</t>
  </si>
  <si>
    <t>QUANT</t>
  </si>
  <si>
    <t>VALOR UNITÁRIO</t>
  </si>
  <si>
    <t>VALOR UNITÁRIO COM BDI</t>
  </si>
  <si>
    <t>VALOR TOTAL</t>
  </si>
  <si>
    <t>1.1</t>
  </si>
  <si>
    <t>INVESTIGAÇÕES GEOTÉCNICAS</t>
  </si>
  <si>
    <t>SUDECAP</t>
  </si>
  <si>
    <t>UN</t>
  </si>
  <si>
    <t>M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</si>
  <si>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</si>
  <si>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</si>
  <si>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</si>
  <si>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</si>
  <si>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</si>
  <si>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</si>
  <si>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</si>
  <si>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</si>
  <si>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</si>
  <si>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</si>
  <si>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</si>
  <si>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</si>
  <si>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</si>
  <si>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</si>
  <si>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</si>
  <si>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</si>
  <si>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</si>
  <si>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3.1</t>
  </si>
  <si>
    <t>4.1</t>
  </si>
  <si>
    <t xml:space="preserve">TOTAL </t>
  </si>
  <si>
    <t>Risco (R)</t>
  </si>
  <si>
    <t>Despesas Financeiras (DF)</t>
  </si>
  <si>
    <t>Administração Central (AC)</t>
  </si>
  <si>
    <t>Lucro (L)</t>
  </si>
  <si>
    <t>Intervalos admissíveis sem justificativa</t>
  </si>
  <si>
    <t>Taxa de Impostos (I)</t>
  </si>
  <si>
    <t>Garantia (G) + Seguro (S)</t>
  </si>
  <si>
    <t>2.18</t>
  </si>
  <si>
    <t>TODOS OS SERVIÇOS DEVERÃO SER DESENVOLVIDOS EM PLATAFORMA BIM (BUILDINGINFORMATION MODELING) CONFORME NORMA NBR 15965</t>
  </si>
  <si>
    <t>COMPOSIÇÃO DO BDI PARA SERVIÇOS - COM DESONERAÇÃO</t>
  </si>
  <si>
    <t>Composição do BDI segurida</t>
  </si>
  <si>
    <t>Composição de BDI adotada</t>
  </si>
  <si>
    <t>De 0,80% até 1,00%</t>
  </si>
  <si>
    <t xml:space="preserve">Garantia </t>
  </si>
  <si>
    <t>Obs.: i) Composição do BDI, intervalos admissíveis e fórmulas de cálculo nos termos do Acórdão 2622/2013 do TCU.</t>
  </si>
  <si>
    <t>De 0,97% até 1,27%</t>
  </si>
  <si>
    <t>Risco</t>
  </si>
  <si>
    <t>De 0,59% até 1,39%</t>
  </si>
  <si>
    <t>Despesas Financeiras</t>
  </si>
  <si>
    <t>De 3,00 %até 5,50%</t>
  </si>
  <si>
    <t>Administração Central</t>
  </si>
  <si>
    <t>BDI (Acórdão)=     ((1+AC+R+G)x(1+DF)x(1+L))</t>
  </si>
  <si>
    <t>-1              =&gt;</t>
  </si>
  <si>
    <t>De 6,16% até 8,96%</t>
  </si>
  <si>
    <t>Lucro</t>
  </si>
  <si>
    <t>1 - (I)</t>
  </si>
  <si>
    <t>ISS (LEI 74) =</t>
  </si>
  <si>
    <t>Taxa de Impostos</t>
  </si>
  <si>
    <t>ii) No caso de itens de serviços que não tenham referencial no SINAPI e/ou SICRO, estão sendo adotadas as orientações sobre elaboração de orçamento de acordo com a publicação do Acórdão nº 3938/2013 - TCU  e Decreto nº 7983 de 08 de abril de 2013.</t>
  </si>
  <si>
    <t>Obs. INSS: conforme Acórdão nº 2622/13 e Lei nº 13.161 de 31/08/15.</t>
  </si>
  <si>
    <t>PIS =</t>
  </si>
  <si>
    <t>COFINS =</t>
  </si>
  <si>
    <t>INSS (CPRB)</t>
  </si>
  <si>
    <t>BDI Proposto Serviços :</t>
  </si>
  <si>
    <t>2.19</t>
  </si>
  <si>
    <t>4.2</t>
  </si>
  <si>
    <t>SETOP</t>
  </si>
  <si>
    <t>PLANILHA REFERÊNCIA</t>
  </si>
  <si>
    <t>DATA BASE</t>
  </si>
  <si>
    <t xml:space="preserve">                                                PLANILHA DE PREÇOS UNITÁRIOS - PPU</t>
  </si>
  <si>
    <t xml:space="preserve">PERFURAÇÃO DE ESTACA BROCA A TRADO MANUAL D = 200 MM </t>
  </si>
  <si>
    <t xml:space="preserve">ED-49747 </t>
  </si>
  <si>
    <t xml:space="preserve"> PROJETO EXECUTIVO DE ARQUITETURA </t>
  </si>
  <si>
    <t xml:space="preserve">ED-4018 </t>
  </si>
  <si>
    <t>PR A1</t>
  </si>
  <si>
    <t xml:space="preserve"> PROJETO EXECUTIVO DE ESTRUTURA DE CONCRETO</t>
  </si>
  <si>
    <t xml:space="preserve">ED-4019 </t>
  </si>
  <si>
    <t xml:space="preserve">ED-3335 </t>
  </si>
  <si>
    <t xml:space="preserve"> PROJETO EXECUTIVO DE ESTRUTURA METÁLICA </t>
  </si>
  <si>
    <t xml:space="preserve">PROJETO EXECUTIVO DE AR CONDICIONADO / VENTILAÇÃO / CLIMATIZAÇÃO </t>
  </si>
  <si>
    <t xml:space="preserve">ED-4040 </t>
  </si>
  <si>
    <t>PROJETO EXECUTIVO DE INSTALAÇÕES HIDRO SANITÁRIAS</t>
  </si>
  <si>
    <t xml:space="preserve">ED-4038 </t>
  </si>
  <si>
    <t>PROJETO EXECUTIVO DE INSTALAÇÕES ELÉTRICAS</t>
  </si>
  <si>
    <t xml:space="preserve">ED-4020 </t>
  </si>
  <si>
    <t xml:space="preserve">PROJETO EXECUTIVO DE INFRAESTRUTURA DE CABEAMENTO ESTRUTURADO / CFTV / ALARME / SEGURANÇA / SONORIZAÇÃO </t>
  </si>
  <si>
    <t xml:space="preserve">ED-4226 </t>
  </si>
  <si>
    <t xml:space="preserve">ED-4051 </t>
  </si>
  <si>
    <t xml:space="preserve">PROJETO EXECUTIVO DE IRRIGAÇÃO </t>
  </si>
  <si>
    <t xml:space="preserve">PROJETO EXECUTIVO DE IMPERMEABILIZAÇÃO </t>
  </si>
  <si>
    <t>PROJETO EXECUTIVO DE ENGRADAMENTO METÁLICO</t>
  </si>
  <si>
    <t xml:space="preserve">ED-4234 </t>
  </si>
  <si>
    <t xml:space="preserve">ED-4049 </t>
  </si>
  <si>
    <t xml:space="preserve">PROJETO EXECUTIVO DE PAISAGISMO </t>
  </si>
  <si>
    <t xml:space="preserve">ED-4044 </t>
  </si>
  <si>
    <t xml:space="preserve">PROJETO EXECUTIVO DE ACÚSTICA </t>
  </si>
  <si>
    <t xml:space="preserve">ED-4045 </t>
  </si>
  <si>
    <t xml:space="preserve">PROJETO EXECUTIVO DE AQUECIMENTO SOLAR E REDE DE ÁGUA QUENTE </t>
  </si>
  <si>
    <t xml:space="preserve">ED-4052 </t>
  </si>
  <si>
    <t xml:space="preserve">PROJETO EXECUTIVO DE GLP </t>
  </si>
  <si>
    <t xml:space="preserve">ED-3336 </t>
  </si>
  <si>
    <t xml:space="preserve">DESENVOLVIMENTO E DETALHAMENTO DE PROJETOS COMPLEMENTARES </t>
  </si>
  <si>
    <t xml:space="preserve">ED-4236 </t>
  </si>
  <si>
    <t xml:space="preserve">APROVAÇÃO DE PROJETO NA PREFEITURA </t>
  </si>
  <si>
    <t xml:space="preserve">APROVAÇÃO DE PROJETO NO CORPO DE BOMBEIROS </t>
  </si>
  <si>
    <t xml:space="preserve">ED-4237 </t>
  </si>
  <si>
    <t xml:space="preserve">ED-4095 </t>
  </si>
  <si>
    <t>DESENHO DE CADASTRO DE CONSTRUÇÕES EXISTENTES</t>
  </si>
  <si>
    <t xml:space="preserve">ED-3334 </t>
  </si>
  <si>
    <t>2.20</t>
  </si>
  <si>
    <t>COPIA XEROX A4 OU OFICIO</t>
  </si>
  <si>
    <t>42.02.09</t>
  </si>
  <si>
    <t>COPIA HEROGRAFICA FORMATO A1</t>
  </si>
  <si>
    <t>Municípios</t>
  </si>
  <si>
    <t>Habitantes Estimado (2018)</t>
  </si>
  <si>
    <t>Abre Campo</t>
  </si>
  <si>
    <t>Acaiaca</t>
  </si>
  <si>
    <t>Alvinópolis</t>
  </si>
  <si>
    <t>Amparo do Serra</t>
  </si>
  <si>
    <t>Araponga</t>
  </si>
  <si>
    <t>Barra Longa</t>
  </si>
  <si>
    <t>Cajuri</t>
  </si>
  <si>
    <t>Caputira</t>
  </si>
  <si>
    <t>Canaã</t>
  </si>
  <si>
    <t>Coimbra</t>
  </si>
  <si>
    <t>Congonhas</t>
  </si>
  <si>
    <t>Desterro Entre Rios</t>
  </si>
  <si>
    <t>Diogo Vasconcelos</t>
  </si>
  <si>
    <t>Guaraciaba</t>
  </si>
  <si>
    <t>Itabirito</t>
  </si>
  <si>
    <t>Jequeri</t>
  </si>
  <si>
    <t>Mariana</t>
  </si>
  <si>
    <t>Oratórios</t>
  </si>
  <si>
    <t>Ouro Preto</t>
  </si>
  <si>
    <t>Pedra do Anta</t>
  </si>
  <si>
    <t>Piedade Ponte Nova</t>
  </si>
  <si>
    <t>Ponte Nova</t>
  </si>
  <si>
    <t>Porto Firme</t>
  </si>
  <si>
    <t>Raul Soares</t>
  </si>
  <si>
    <t>Rio Casca</t>
  </si>
  <si>
    <t>Rio Doce</t>
  </si>
  <si>
    <t>Santa Cruz Escalvado</t>
  </si>
  <si>
    <t>Santo Antônio Grama</t>
  </si>
  <si>
    <t>São José Goiabal</t>
  </si>
  <si>
    <t>São Pedro Ferros</t>
  </si>
  <si>
    <t>Sem Peixe</t>
  </si>
  <si>
    <t>Teixeiras</t>
  </si>
  <si>
    <t>Urucânia</t>
  </si>
  <si>
    <t>Visconde Rio Branco</t>
  </si>
  <si>
    <t>Valores Totais</t>
  </si>
  <si>
    <t>Item</t>
  </si>
  <si>
    <t>Construção (m²)</t>
  </si>
  <si>
    <t>Arquitetônico (Prancha A1)</t>
  </si>
  <si>
    <t>Estrutural Concreto (Prancha A1)</t>
  </si>
  <si>
    <t>Ar Condicionado (Prancha A1)</t>
  </si>
  <si>
    <t>Hidro Sanitária (Prancha A1)</t>
  </si>
  <si>
    <t>Elétrico (Prancha A1)</t>
  </si>
  <si>
    <t>Engradamento  Metálico (Prancha A1)</t>
  </si>
  <si>
    <t>Irrigação (Prancha A1)</t>
  </si>
  <si>
    <t>Impermeabilização (Prancha A1)</t>
  </si>
  <si>
    <t>Paisagismo (Prancha A1)</t>
  </si>
  <si>
    <t>Acústica (Prancha A1)</t>
  </si>
  <si>
    <t>Aquec Solar Água Quente (Prancha A1)</t>
  </si>
  <si>
    <t>GLP       (Prancha A1)</t>
  </si>
  <si>
    <t>Detalhamentos Complementares (Prancha A1)</t>
  </si>
  <si>
    <t>Aprovação Prefeitura (Prancha A1)</t>
  </si>
  <si>
    <t>Aprovação Corpo Bombeiros (Prancha A1)</t>
  </si>
  <si>
    <t>Cadastro Existente (Prancha A1)</t>
  </si>
  <si>
    <t>Cópia A4</t>
  </si>
  <si>
    <t>Cópia A1</t>
  </si>
  <si>
    <t>Sondagem 2/1/2" Mobilização</t>
  </si>
  <si>
    <t>Sondagens 2/1/12" (metro)</t>
  </si>
  <si>
    <t>Sondagen    Manual Trado        (metro)</t>
  </si>
  <si>
    <t>2.21</t>
  </si>
  <si>
    <t>ED-4046</t>
  </si>
  <si>
    <t xml:space="preserve">PROJETO EXECUTIVO DE PREVENÇÃO E COMBATE A INCÊNDIO </t>
  </si>
  <si>
    <t>Combate incendio (Prancha A1)</t>
  </si>
  <si>
    <t>42.02.08</t>
  </si>
  <si>
    <t>ED-4224</t>
  </si>
  <si>
    <t>PROJETO EXECUTIVO DE TERRAPLENAGEM - PLANTA</t>
  </si>
  <si>
    <t>PROJETO EXECUTIVO DE TERRAPLENAGEM - SEÇÕES</t>
  </si>
  <si>
    <t>ANTEPROJETO DE EDIFICAÇÃO - AREA &lt;= 600 m²</t>
  </si>
  <si>
    <t>ED-4215</t>
  </si>
  <si>
    <t>ED-4216</t>
  </si>
  <si>
    <t>ED-4217</t>
  </si>
  <si>
    <t>ANTEPROJETO DE EDIFICAÇÃO - 600 m² &lt; AREA &lt;= 1.500 m²</t>
  </si>
  <si>
    <t>ANTEPROJETO DE EDIFICAÇÃO - 1.500 m² &lt; AREA &lt;= 3.000 m²</t>
  </si>
  <si>
    <t>ED-4050</t>
  </si>
  <si>
    <t>PROJETO EXECUTIVO DE DRENAGEM PLUVIAL</t>
  </si>
  <si>
    <t xml:space="preserve">ED-4255 </t>
  </si>
  <si>
    <t>ESPECIFICAÇÃO DOS MATERIAIS COM MEMORIAL DESCRITIVO DE CADA AMBIENTE E EQUIPAMENTOS PARA PROJETOS DE IMPLANTAÇÃO DE EDIFICAÇÃO ÁREA ATÉ 6.000 M2</t>
  </si>
  <si>
    <t>M²</t>
  </si>
  <si>
    <t>2.22</t>
  </si>
  <si>
    <t>2.23</t>
  </si>
  <si>
    <t>2.24</t>
  </si>
  <si>
    <t>2.25</t>
  </si>
  <si>
    <t>2.26</t>
  </si>
  <si>
    <t>2.27</t>
  </si>
  <si>
    <t>ED-4172</t>
  </si>
  <si>
    <t>LEVANTAMENTO PLANIALTIMÉTRICO E CADASTRAL -TERRENO ATÉ 2.000 M²</t>
  </si>
  <si>
    <t>LEVANTAMENTO PLANIALTIMÉTRICO E CADASTRAL -TERRENO DE 2.001 A 10.000 M²</t>
  </si>
  <si>
    <t>3.2</t>
  </si>
  <si>
    <t>Terraplenagem Planta</t>
  </si>
  <si>
    <t>Terraplenagem  Seções</t>
  </si>
  <si>
    <t>Drenagem</t>
  </si>
  <si>
    <t>Anteprojeto 600 m²</t>
  </si>
  <si>
    <t>Anteprojeto 600 -1500 m²</t>
  </si>
  <si>
    <t>Anteprojeto 1500 - 3000 m²</t>
  </si>
  <si>
    <t>Memorial</t>
  </si>
  <si>
    <t>Planialtimétrico 2000 m²</t>
  </si>
  <si>
    <t>1.2</t>
  </si>
  <si>
    <t>1.3</t>
  </si>
  <si>
    <t>1.4</t>
  </si>
  <si>
    <t>Matipó</t>
  </si>
  <si>
    <t>São Geraldo</t>
  </si>
  <si>
    <t>São Miguel do Anta</t>
  </si>
  <si>
    <t>Piranga</t>
  </si>
  <si>
    <t>ED-4225</t>
  </si>
  <si>
    <t xml:space="preserve">ED-4173 </t>
  </si>
  <si>
    <t>DESCRIÇÃO</t>
  </si>
  <si>
    <t>KM</t>
  </si>
  <si>
    <t>PROJETOS DE INFRA ESTRUTURA /EDIFICAÇÕES</t>
  </si>
  <si>
    <t>PLANILHA ORÇAMENTÁRIA PARA PROJETOS</t>
  </si>
  <si>
    <t>EQUIPE TÉCNICA - FISCALIZAÇÃO E SUPERVISÃO</t>
  </si>
  <si>
    <t>ED-4170</t>
  </si>
  <si>
    <t>ED-4171</t>
  </si>
  <si>
    <t>DIÁRIA DE EQUIPE COM PERNOITE</t>
  </si>
  <si>
    <t>DIÁRIA DE EQUIPE SEM PERNOITE</t>
  </si>
  <si>
    <t>H</t>
  </si>
  <si>
    <t>ED-4165</t>
  </si>
  <si>
    <t>ED-4166</t>
  </si>
  <si>
    <t>ED-4167</t>
  </si>
  <si>
    <t>ED-4169</t>
  </si>
  <si>
    <t>ENGENHEIRO/ARQUITETO CONSULTOR</t>
  </si>
  <si>
    <t>ENGENHEIRO/ARQUITETO COORDENADOR</t>
  </si>
  <si>
    <t xml:space="preserve">ENGENHEIRO/ARQUITETO SENIOR </t>
  </si>
  <si>
    <t>ENGENHEIRO/ARQUITETO JÚNIOR</t>
  </si>
  <si>
    <t>ED-4175</t>
  </si>
  <si>
    <t>ED-4176</t>
  </si>
  <si>
    <t>ED-4177</t>
  </si>
  <si>
    <t>LEVANTAMENTO PLANIALTIMÉTRICO E CADASTRAL -TERRENO DE 10.001 A 50.000 M²</t>
  </si>
  <si>
    <t>LEVANTAMENTO PLANIALTIMÉTRICO E CADASTRAL - TERRENO MAIOR QUE 50.001 M²</t>
  </si>
  <si>
    <t xml:space="preserve">DESLOCAMENTO INTERMUNICIPAL </t>
  </si>
  <si>
    <t>ANTEPROJETO DE EDIFICAÇÃO - ÁREA &gt; 3.000 m²</t>
  </si>
  <si>
    <t>ED-4218</t>
  </si>
  <si>
    <t>DESENVOLVIMENTO E DETALHAMENTO DE PROJETO ARQUITETÔNICO</t>
  </si>
  <si>
    <t xml:space="preserve">ED-4223 </t>
  </si>
  <si>
    <t>PROJETO EXECUTIVO DE CABEAMENTO ESTRUTURADO</t>
  </si>
  <si>
    <t>ED-4039</t>
  </si>
  <si>
    <t>ED-4041</t>
  </si>
  <si>
    <t xml:space="preserve">PROJETO EXECUTIVO DE SPDA </t>
  </si>
  <si>
    <t>ED-4250</t>
  </si>
  <si>
    <t>DESLOCAMENTO DE EQUIPAMENTOS PARA SONDAGENS A PERCUSSÃO D = 2 1/2"</t>
  </si>
  <si>
    <t>MOBILIZAÇÃO E INSTALAÇÃO POR EQUIPAMENTO DE SONDAGEM A PERCUSSÃO D = 2 1/2"</t>
  </si>
  <si>
    <t xml:space="preserve">ED-4117 </t>
  </si>
  <si>
    <t>SONDAGEM A PERCUSSÃO D = 2 1/2" (INCLUSIVE RELATÓRIO)</t>
  </si>
  <si>
    <t>ED-4118</t>
  </si>
  <si>
    <t>ED-4043</t>
  </si>
  <si>
    <t>PROJETO EXECUTIVO LUNINOTÉCNICO</t>
  </si>
  <si>
    <t>Desloc. Sondagem 2/1/2"</t>
  </si>
  <si>
    <t>2.28</t>
  </si>
  <si>
    <t>2.29</t>
  </si>
  <si>
    <t>2.30</t>
  </si>
  <si>
    <t>2.31</t>
  </si>
  <si>
    <t>Desenv. Detalham. (Prancha A1)</t>
  </si>
  <si>
    <t>Cabeamento Estruturado (Prancha A1)</t>
  </si>
  <si>
    <t>Infraestrutura TV-Alarme Seg.-Sonoriz. (Prancha A1)</t>
  </si>
  <si>
    <t>SPDA   (Prancha A1)</t>
  </si>
  <si>
    <t>Eng. Consultor</t>
  </si>
  <si>
    <t>Eng. Coordenador</t>
  </si>
  <si>
    <t>Eng. Senior</t>
  </si>
  <si>
    <t>Eng. Júnior</t>
  </si>
  <si>
    <t>Diária com Pernoite</t>
  </si>
  <si>
    <t>Diária sem Pernoite</t>
  </si>
  <si>
    <t>Planialtimétrico 2000 - 10.000 m²</t>
  </si>
  <si>
    <t>Planialtimétrico 10.000 - 50.000 m²</t>
  </si>
  <si>
    <t>Planialtimétrico maior que 50.000 m²</t>
  </si>
  <si>
    <t>01</t>
  </si>
  <si>
    <t>02</t>
  </si>
  <si>
    <t>03</t>
  </si>
  <si>
    <t>3.3</t>
  </si>
  <si>
    <t>3.4</t>
  </si>
  <si>
    <t>3.5</t>
  </si>
  <si>
    <t>3.6</t>
  </si>
  <si>
    <t>04</t>
  </si>
  <si>
    <t>4.3</t>
  </si>
  <si>
    <t>4.4</t>
  </si>
  <si>
    <t>4.5</t>
  </si>
  <si>
    <t>4.6</t>
  </si>
  <si>
    <t>05</t>
  </si>
  <si>
    <t>5.1</t>
  </si>
  <si>
    <t>5.2</t>
  </si>
  <si>
    <t>5.3</t>
  </si>
  <si>
    <t>5.4</t>
  </si>
  <si>
    <t>5.5</t>
  </si>
  <si>
    <t>06</t>
  </si>
  <si>
    <t>6.1</t>
  </si>
  <si>
    <t>6.2</t>
  </si>
  <si>
    <t>Luminotécnico     (Prancha A1)</t>
  </si>
  <si>
    <t>Anteprojeto acima de  3000 m²</t>
  </si>
  <si>
    <t>Deslocamento intermunicipal</t>
  </si>
  <si>
    <t>Estrutura Metálica (Prancha A1)</t>
  </si>
  <si>
    <t xml:space="preserve">Vermelho Novo </t>
  </si>
  <si>
    <t>Viçosa</t>
  </si>
  <si>
    <t xml:space="preserve">OBRA/SERVIÇOS: SERVIÇOS DE ENGENHARIA (LEVANTAMENTOS, PROJETOS E ORÇAMENTOS) </t>
  </si>
  <si>
    <t>LOCAL: SEDE, DISTRITOS, SUBDISTRITOS E LOCALIDADES DOS MUNICÍPIOS DE CONSORCIADOS AO CIMVALPI</t>
  </si>
  <si>
    <t>CÁLCULO DO BDI - SERVIÇOS DE PAVIMENTAÇÃO E TAPA BURACOS EM CBUQ</t>
  </si>
  <si>
    <t>Proponente</t>
  </si>
  <si>
    <t>CONSÓRCIO INTERMUNICIPAL MULTISSETORIAL DO VALE DO PIRANGA - CIMVALPI</t>
  </si>
  <si>
    <t>Empreendimento ( Nome/Apelido)</t>
  </si>
  <si>
    <t>Pavimentação Asfáltica em CBUQ, Serviços de Tapa Buracos, Drenagens e Serviços Complementares</t>
  </si>
  <si>
    <t>Local:</t>
  </si>
  <si>
    <t>Nas ruas e/ou estradas da sede, distritos, subdistritos e localidades dos municípios consorciados ao CIMVALPI.</t>
  </si>
  <si>
    <t>Município</t>
  </si>
  <si>
    <t>UF</t>
  </si>
  <si>
    <t>MG</t>
  </si>
  <si>
    <t>Modalidade:</t>
  </si>
  <si>
    <t>Processo Licitação</t>
  </si>
  <si>
    <t>Parâmetros para cálculo do BDI</t>
  </si>
  <si>
    <t>Itens Admissíveis</t>
  </si>
  <si>
    <t>Índices adotados</t>
  </si>
  <si>
    <t xml:space="preserve">De </t>
  </si>
  <si>
    <t>até</t>
  </si>
  <si>
    <t>Seguro e Garantia (S+G)</t>
  </si>
  <si>
    <t>Despesas financeiras (DF)</t>
  </si>
  <si>
    <t>Tributos (T)</t>
  </si>
  <si>
    <t>INSS desoneração (E)</t>
  </si>
  <si>
    <t>ou</t>
  </si>
  <si>
    <t>Controle</t>
  </si>
  <si>
    <t>BDI CALCULADO ----&gt;</t>
  </si>
  <si>
    <t>BDI = (1+AC+S+R+G)*(1+DF)*(1+L)/(1-(T+E))</t>
  </si>
  <si>
    <r>
      <rPr>
        <sz val="12"/>
        <rFont val="Arial"/>
        <family val="2"/>
      </rPr>
      <t>Edital</t>
    </r>
    <r>
      <rPr>
        <b/>
        <sz val="12"/>
        <rFont val="Arial"/>
        <family val="2"/>
      </rPr>
      <t xml:space="preserve">: </t>
    </r>
  </si>
  <si>
    <t>BDI BASEADO NO ACÓRDÃO 2622-2013  - TCU E LEI 13.161/2015 - COM DESONERAÇÃO</t>
  </si>
  <si>
    <t xml:space="preserve">     Eduardo Pereira Real</t>
  </si>
  <si>
    <t>Engenheiro Civil</t>
  </si>
  <si>
    <t>Crea/MG 41.091/D</t>
  </si>
  <si>
    <t>LOTE 01</t>
  </si>
  <si>
    <t>LOTE 02</t>
  </si>
  <si>
    <t>LOTE 04</t>
  </si>
  <si>
    <t>LOTE 03</t>
  </si>
  <si>
    <t>SERVIÇOS DE TOPOGRAFIA</t>
  </si>
  <si>
    <t>SERVIÇOS GRÁFICOS</t>
  </si>
  <si>
    <t>Gases Medicinais      (Prancha A1)</t>
  </si>
  <si>
    <t>PROJETO DE GASES MEDICINAIS</t>
  </si>
  <si>
    <t>COPASA</t>
  </si>
  <si>
    <t>PROJETO DE INTERCEPTOR - SISTEMA COMPLETO - RCE - SES</t>
  </si>
  <si>
    <t>ELEVATÓRIA DE ESGOTO (*7,5 CV &lt;P&lt;25 CV)</t>
  </si>
  <si>
    <t>ELEVATORIA DE ESGOTO (75CV&lt;=P&lt;=200CV).</t>
  </si>
  <si>
    <t>TRATAMENTO - ETE - PROJETO DE IMPLANTACAO GERAL E SISTEMAS COMPLEMENTARES - PORTE 4 - 100 &lt;= VAZAO &lt; 400 L/S</t>
  </si>
  <si>
    <t>TRATAMENTO - ETE - PROJETO DE IMPLANTACAO GERAL E SISTEMAS COMPLEMENTARES - PORTE 2 - 15 &lt;= VAZAO &lt; 50 L/S</t>
  </si>
  <si>
    <t>PROJETO DE REDE COLETORA - RCE - SES</t>
  </si>
  <si>
    <t>VERIFICACAO DE TRANSIENTE HIDRAULICO DA LINHA DE RECALQUE - SES</t>
  </si>
  <si>
    <t>URBANIZACAO E PAISAGISMO - ESTACAO DE TRATAMENTO DE ESGOTOS - SES</t>
  </si>
  <si>
    <t>TRAVESSIA - CORREGOS -  SES</t>
  </si>
  <si>
    <t>TRAVESSIA - RODOVIAS E/OU FERROVIAS - SES</t>
  </si>
  <si>
    <t>LINHA DE RECALQUE, PROJETO E DETALHAMENTO, SES.</t>
  </si>
  <si>
    <t>62.21.03</t>
  </si>
  <si>
    <t>62.21.04</t>
  </si>
  <si>
    <t>62.22.03</t>
  </si>
  <si>
    <t>62.22.04</t>
  </si>
  <si>
    <t>62.23.03</t>
  </si>
  <si>
    <t>62.23.04</t>
  </si>
  <si>
    <t>PLANILHA DE QUANTITATIVOS  PARA PROJETOS DE IMPLANTAÇÃO DE EDIFICAÇÃO ÁREA ≤ 6.000 m²</t>
  </si>
  <si>
    <t>PLANILHA DE QUANTITATIVOS  PARA PROJETOS DE IMPLANTAÇÃO DE EDIFICAÇÃO ÁREA &gt; 6.000 m²</t>
  </si>
  <si>
    <t>PLANILHA DE QUANTITATIVOS  PARA PROJETOS DE EDIFICAÇÕES NOVAS ÁREA ≤ 1.000 m²</t>
  </si>
  <si>
    <t>PLANILHA DE QUANTITATIVOS  PARA PROJETOS DE EDIFICAÇÕES NOVAS ÁREA &gt; 1.000 m²</t>
  </si>
  <si>
    <t>PLANILHA DE QUANTITATIVOS  PARA PROJETOS DE REFORMAS ÁREA ≤ 1.000 m²</t>
  </si>
  <si>
    <t>PLANILHA DE QUANTITATIVOS  PARA PROJETOS DE REFORMAS ÁREA &gt; 1.000 m²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</si>
  <si>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</si>
  <si>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</si>
  <si>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</si>
  <si>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</si>
  <si>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</si>
  <si>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</si>
  <si>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</si>
  <si>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</si>
  <si>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</si>
  <si>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</si>
  <si>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</si>
  <si>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 xml:space="preserve"> INTERCEPTOR - SES</t>
  </si>
  <si>
    <t>ELEVATÓRIA (*7,5 CV &lt;P&lt;25 CV)</t>
  </si>
  <si>
    <t>ELEVATORIA (75CV&lt;=P&lt;=200CV)</t>
  </si>
  <si>
    <t>ETE - PORTE 4 - 100 &lt;= VAZAO &lt; 400 L/S</t>
  </si>
  <si>
    <t>ETE - PORTE 2 - 15 &lt;= VAZAO &lt; 50 L/S</t>
  </si>
  <si>
    <t xml:space="preserve"> REDE COLETORA - RCE - SES</t>
  </si>
  <si>
    <t>TRANSIENTE HIDRu. RECALQUE - SES</t>
  </si>
  <si>
    <t>Planilha Edificações &lt;=6.000 m²</t>
  </si>
  <si>
    <t>Planilha Edificações &gt;6.000</t>
  </si>
  <si>
    <t>Planilha Edif. Novas Áreas&lt;= 1.000m²</t>
  </si>
  <si>
    <t>Planilha Edif. Novas Áreas&gt; 1.000m²</t>
  </si>
  <si>
    <t>Planilha Edif. Redormas&lt;= 1.000m²</t>
  </si>
  <si>
    <t>Planilha Edif. Redormas&gt;1.000m²</t>
  </si>
  <si>
    <t>65003657</t>
  </si>
  <si>
    <t>65003734</t>
  </si>
  <si>
    <t>65004456</t>
  </si>
  <si>
    <t>65004454</t>
  </si>
  <si>
    <t>65001515</t>
  </si>
  <si>
    <t>65001532</t>
  </si>
  <si>
    <t>65001554</t>
  </si>
  <si>
    <t>65001586</t>
  </si>
  <si>
    <t>65001585</t>
  </si>
  <si>
    <t>65003742</t>
  </si>
  <si>
    <t>ED-4053</t>
  </si>
  <si>
    <t>2.43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</si>
</sst>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* #,##0.00_-;\-&quot;R$&quot;* #,##0.00_-;_-&quot;R$&quot;* &quot;-&quot;??_-;_-@_-"/>
    <numFmt numFmtId="164" formatCode="_-&quot;R$&quot;* #,##0.00_-;&quot;-R$&quot;* #,##0.00_-;_-&quot;R$&quot;* \-??_-;_-@_-"/>
    <numFmt numFmtId="165" formatCode="_(* #,##0.00_);_(* \(#,##0.00\);_(* \-??_);_(@_)"/>
    <numFmt numFmtId="166" formatCode="_-* #,##0.00_-;\-* #,##0.00_-;_-* \-??_-;_-@_-"/>
    <numFmt numFmtId="167" formatCode="_-&quot;R$ &quot;* #,##0.00_-;&quot;-R$ &quot;* #,##0.00_-;_-&quot;R$ &quot;* \-??_-;_-@_-"/>
    <numFmt numFmtId="168" formatCode="_(* #,##0.00_);_(* \(#,##0.00\);_(* &quot;-&quot;??_);_(@_)"/>
    <numFmt numFmtId="169" formatCode="[$-416]mmm\-yy;@"/>
  </numFmts>
  <fonts count="24" x14ac:knownFonts="1">
    <font>
      <sz val="11"/>
      <color rgb="FF000000"/>
      <name val="Calibri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Tahoma"/>
      <family val="2"/>
    </font>
    <font>
      <sz val="12"/>
      <name val="Tahoma"/>
      <family val="2"/>
    </font>
    <font>
      <b/>
      <sz val="16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b/>
      <sz val="10"/>
      <color theme="0"/>
      <name val="Century Gothic"/>
      <family val="2"/>
    </font>
    <font>
      <sz val="10"/>
      <color theme="1"/>
      <name val="Century Gothic"/>
      <family val="2"/>
    </font>
    <font>
      <b/>
      <sz val="11"/>
      <color theme="0"/>
      <name val="Calibri"/>
      <family val="2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sz val="8"/>
      <name val="Calibri"/>
      <family val="2"/>
    </font>
    <font>
      <sz val="8"/>
      <name val="Calibri"/>
      <family val="2"/>
    </font>
    <font>
      <b/>
      <sz val="14"/>
      <color rgb="FF000000"/>
      <name val="Century Gothic"/>
      <family val="2"/>
    </font>
    <font>
      <b/>
      <sz val="10"/>
      <color rgb="FF000000"/>
      <name val="Century Gothic"/>
      <family val="2"/>
    </font>
    <font>
      <sz val="10"/>
      <name val="Century Gothic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8"/>
      <name val="Century Gothic"/>
      <family val="2"/>
    </font>
    <font>
      <b/>
      <sz val="12"/>
      <color theme="0"/>
      <name val="Century Gothic"/>
      <family val="2"/>
    </font>
    <font>
      <b/>
      <sz val="11"/>
      <color theme="0"/>
      <name val="Century Gothic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rgb="FFD3D3D3"/>
      </patternFill>
    </fill>
    <fill>
      <patternFill patternType="solid">
        <fgColor theme="9" tint="0.39997558519241921"/>
        <bgColor rgb="FFC0C0C0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rgb="FFC0C0C0"/>
      </patternFill>
    </fill>
    <fill>
      <patternFill patternType="solid">
        <fgColor rgb="FFFFFF00"/>
        <bgColor rgb="FFE7E6E6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hair">
        <color indexed="64"/>
      </top>
      <bottom/>
      <diagonal/>
    </border>
  </borders>
  <cellStyleXfs count="9">
    <xf numFmtId="0" fontId="0" fillId="0" borderId="0"/>
    <xf numFmtId="166" fontId="1" fillId="0" borderId="0" applyBorder="0" applyProtection="0"/>
    <xf numFmtId="164" fontId="1" fillId="0" borderId="0" applyBorder="0" applyProtection="0"/>
    <xf numFmtId="165" fontId="1" fillId="0" borderId="0" applyBorder="0" applyProtection="0"/>
    <xf numFmtId="4" fontId="2" fillId="0" borderId="12">
      <alignment vertical="justify"/>
    </xf>
    <xf numFmtId="168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331">
    <xf numFmtId="0" fontId="0" fillId="0" borderId="0" xfId="0"/>
    <xf numFmtId="4" fontId="3" fillId="0" borderId="0" xfId="4" applyFont="1" applyFill="1" applyBorder="1" applyAlignment="1">
      <alignment vertical="center" readingOrder="1"/>
    </xf>
    <xf numFmtId="4" fontId="3" fillId="0" borderId="0" xfId="4" applyFont="1" applyFill="1" applyBorder="1" applyAlignment="1">
      <alignment vertical="center" wrapText="1" readingOrder="1"/>
    </xf>
    <xf numFmtId="168" fontId="3" fillId="0" borderId="0" xfId="5" applyFont="1" applyFill="1" applyBorder="1" applyAlignment="1">
      <alignment horizontal="center" vertical="center" readingOrder="1"/>
    </xf>
    <xf numFmtId="4" fontId="3" fillId="0" borderId="0" xfId="4" applyNumberFormat="1" applyFont="1" applyFill="1" applyBorder="1" applyAlignment="1">
      <alignment vertical="center" readingOrder="1"/>
    </xf>
    <xf numFmtId="4" fontId="4" fillId="0" borderId="0" xfId="4" applyFont="1" applyFill="1" applyBorder="1" applyAlignment="1">
      <alignment vertical="center" readingOrder="1"/>
    </xf>
    <xf numFmtId="4" fontId="4" fillId="0" borderId="5" xfId="4" applyFont="1" applyFill="1" applyBorder="1" applyAlignment="1">
      <alignment vertical="center" readingOrder="1"/>
    </xf>
    <xf numFmtId="4" fontId="4" fillId="0" borderId="9" xfId="4" applyFont="1" applyFill="1" applyBorder="1" applyAlignment="1">
      <alignment vertical="center" readingOrder="1"/>
    </xf>
    <xf numFmtId="4" fontId="3" fillId="0" borderId="7" xfId="4" applyFont="1" applyFill="1" applyBorder="1" applyAlignment="1">
      <alignment vertical="center" wrapText="1" readingOrder="1"/>
    </xf>
    <xf numFmtId="4" fontId="3" fillId="0" borderId="8" xfId="4" applyNumberFormat="1" applyFont="1" applyFill="1" applyBorder="1" applyAlignment="1">
      <alignment vertical="center" readingOrder="1"/>
    </xf>
    <xf numFmtId="3" fontId="4" fillId="0" borderId="0" xfId="4" quotePrefix="1" applyNumberFormat="1" applyFont="1" applyFill="1" applyBorder="1" applyAlignment="1">
      <alignment horizontal="left" vertical="center" readingOrder="1"/>
    </xf>
    <xf numFmtId="10" fontId="6" fillId="0" borderId="8" xfId="4" applyNumberFormat="1" applyFont="1" applyFill="1" applyBorder="1" applyAlignment="1">
      <alignment horizontal="center" vertical="center" wrapText="1" readingOrder="1"/>
    </xf>
    <xf numFmtId="4" fontId="4" fillId="0" borderId="2" xfId="4" applyFont="1" applyFill="1" applyBorder="1" applyAlignment="1">
      <alignment vertical="center" readingOrder="1"/>
    </xf>
    <xf numFmtId="4" fontId="4" fillId="0" borderId="7" xfId="4" applyFont="1" applyFill="1" applyBorder="1" applyAlignment="1">
      <alignment vertical="center" readingOrder="1"/>
    </xf>
    <xf numFmtId="4" fontId="4" fillId="0" borderId="0" xfId="4" applyNumberFormat="1" applyFont="1" applyFill="1" applyBorder="1" applyAlignment="1">
      <alignment vertical="center" readingOrder="1"/>
    </xf>
    <xf numFmtId="4" fontId="4" fillId="0" borderId="8" xfId="4" applyFont="1" applyFill="1" applyBorder="1" applyAlignment="1">
      <alignment vertical="distributed" readingOrder="1"/>
    </xf>
    <xf numFmtId="4" fontId="3" fillId="0" borderId="0" xfId="4" applyFont="1" applyFill="1" applyBorder="1" applyAlignment="1">
      <alignment horizontal="center" vertical="center" readingOrder="1"/>
    </xf>
    <xf numFmtId="4" fontId="4" fillId="0" borderId="3" xfId="4" applyFont="1" applyFill="1" applyBorder="1" applyAlignment="1">
      <alignment vertical="center" readingOrder="1"/>
    </xf>
    <xf numFmtId="4" fontId="4" fillId="0" borderId="4" xfId="4" applyFont="1" applyFill="1" applyBorder="1" applyAlignment="1">
      <alignment vertical="center" readingOrder="1"/>
    </xf>
    <xf numFmtId="4" fontId="4" fillId="0" borderId="1" xfId="4" applyFont="1" applyFill="1" applyBorder="1" applyAlignment="1">
      <alignment horizontal="center" vertical="center" readingOrder="1"/>
    </xf>
    <xf numFmtId="10" fontId="4" fillId="0" borderId="1" xfId="4" applyNumberFormat="1" applyFont="1" applyFill="1" applyBorder="1" applyAlignment="1">
      <alignment horizontal="center" vertical="center" readingOrder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10" fillId="9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169" fontId="12" fillId="0" borderId="1" xfId="2" applyNumberFormat="1" applyFont="1" applyBorder="1" applyAlignment="1" applyProtection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66" fontId="11" fillId="0" borderId="17" xfId="1" applyFont="1" applyBorder="1" applyAlignment="1" applyProtection="1">
      <alignment horizontal="center" vertical="center" wrapText="1"/>
    </xf>
    <xf numFmtId="164" fontId="11" fillId="0" borderId="17" xfId="2" applyFont="1" applyBorder="1" applyAlignment="1" applyProtection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164" fontId="11" fillId="6" borderId="1" xfId="2" applyFont="1" applyFill="1" applyBorder="1" applyAlignment="1" applyProtection="1">
      <alignment horizontal="right" vertical="center" wrapText="1"/>
    </xf>
    <xf numFmtId="0" fontId="12" fillId="0" borderId="16" xfId="0" applyFont="1" applyBorder="1" applyAlignment="1">
      <alignment horizontal="center" vertical="center" wrapText="1"/>
    </xf>
    <xf numFmtId="49" fontId="12" fillId="0" borderId="16" xfId="0" applyNumberFormat="1" applyFont="1" applyBorder="1" applyAlignment="1">
      <alignment horizontal="center" vertical="center" wrapText="1"/>
    </xf>
    <xf numFmtId="49" fontId="12" fillId="0" borderId="16" xfId="0" applyNumberFormat="1" applyFont="1" applyBorder="1" applyAlignment="1">
      <alignment horizontal="left" vertical="center" wrapText="1"/>
    </xf>
    <xf numFmtId="4" fontId="12" fillId="0" borderId="16" xfId="1" applyNumberFormat="1" applyFont="1" applyBorder="1" applyAlignment="1" applyProtection="1">
      <alignment horizontal="right" vertical="center" wrapText="1"/>
    </xf>
    <xf numFmtId="4" fontId="12" fillId="2" borderId="16" xfId="2" applyNumberFormat="1" applyFont="1" applyFill="1" applyBorder="1" applyAlignment="1" applyProtection="1">
      <alignment horizontal="right" vertical="center" wrapText="1"/>
    </xf>
    <xf numFmtId="4" fontId="12" fillId="0" borderId="16" xfId="2" applyNumberFormat="1" applyFont="1" applyBorder="1" applyAlignment="1" applyProtection="1">
      <alignment horizontal="right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left" vertical="center" wrapText="1"/>
    </xf>
    <xf numFmtId="4" fontId="12" fillId="0" borderId="12" xfId="1" applyNumberFormat="1" applyFont="1" applyBorder="1" applyAlignment="1" applyProtection="1">
      <alignment horizontal="right" vertical="center" wrapText="1"/>
    </xf>
    <xf numFmtId="4" fontId="12" fillId="2" borderId="12" xfId="2" applyNumberFormat="1" applyFont="1" applyFill="1" applyBorder="1" applyAlignment="1" applyProtection="1">
      <alignment horizontal="right" vertical="center" wrapText="1"/>
    </xf>
    <xf numFmtId="4" fontId="12" fillId="0" borderId="12" xfId="2" applyNumberFormat="1" applyFont="1" applyBorder="1" applyAlignment="1" applyProtection="1">
      <alignment horizontal="right" vertical="center" wrapText="1"/>
    </xf>
    <xf numFmtId="164" fontId="12" fillId="0" borderId="0" xfId="0" applyNumberFormat="1" applyFont="1" applyBorder="1" applyAlignment="1">
      <alignment vertical="center" wrapText="1"/>
    </xf>
    <xf numFmtId="164" fontId="11" fillId="7" borderId="1" xfId="2" applyFont="1" applyFill="1" applyBorder="1" applyAlignment="1" applyProtection="1">
      <alignment horizontal="left" vertical="center" wrapText="1"/>
    </xf>
    <xf numFmtId="49" fontId="12" fillId="0" borderId="0" xfId="0" applyNumberFormat="1" applyFont="1" applyBorder="1" applyAlignment="1">
      <alignment vertical="center" wrapText="1"/>
    </xf>
    <xf numFmtId="164" fontId="12" fillId="10" borderId="14" xfId="2" applyFont="1" applyFill="1" applyBorder="1" applyAlignment="1" applyProtection="1">
      <alignment horizontal="center" vertical="center" wrapText="1"/>
    </xf>
    <xf numFmtId="4" fontId="12" fillId="10" borderId="14" xfId="1" applyNumberFormat="1" applyFont="1" applyFill="1" applyBorder="1" applyAlignment="1" applyProtection="1">
      <alignment horizontal="right" vertical="center" wrapText="1"/>
    </xf>
    <xf numFmtId="164" fontId="12" fillId="10" borderId="12" xfId="2" applyFont="1" applyFill="1" applyBorder="1" applyAlignment="1" applyProtection="1">
      <alignment horizontal="center" vertical="center" wrapText="1"/>
    </xf>
    <xf numFmtId="4" fontId="12" fillId="10" borderId="12" xfId="1" applyNumberFormat="1" applyFont="1" applyFill="1" applyBorder="1" applyAlignment="1" applyProtection="1">
      <alignment horizontal="right" vertical="center" wrapText="1"/>
    </xf>
    <xf numFmtId="164" fontId="12" fillId="10" borderId="16" xfId="2" applyFont="1" applyFill="1" applyBorder="1" applyAlignment="1" applyProtection="1">
      <alignment horizontal="center" vertical="center" wrapText="1"/>
    </xf>
    <xf numFmtId="4" fontId="12" fillId="10" borderId="16" xfId="1" applyNumberFormat="1" applyFont="1" applyFill="1" applyBorder="1" applyAlignment="1" applyProtection="1">
      <alignment horizontal="right" vertical="center" wrapText="1"/>
    </xf>
    <xf numFmtId="49" fontId="12" fillId="2" borderId="16" xfId="0" applyNumberFormat="1" applyFont="1" applyFill="1" applyBorder="1" applyAlignment="1">
      <alignment horizontal="center" vertical="center" wrapText="1"/>
    </xf>
    <xf numFmtId="4" fontId="12" fillId="2" borderId="16" xfId="1" applyNumberFormat="1" applyFont="1" applyFill="1" applyBorder="1" applyAlignment="1" applyProtection="1">
      <alignment horizontal="right" vertical="center" wrapText="1"/>
    </xf>
    <xf numFmtId="49" fontId="12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" fontId="12" fillId="0" borderId="12" xfId="1" applyNumberFormat="1" applyFont="1" applyFill="1" applyBorder="1" applyAlignment="1" applyProtection="1">
      <alignment horizontal="right" vertical="center" wrapText="1"/>
    </xf>
    <xf numFmtId="4" fontId="12" fillId="0" borderId="12" xfId="2" applyNumberFormat="1" applyFont="1" applyFill="1" applyBorder="1" applyAlignment="1" applyProtection="1">
      <alignment horizontal="right" vertical="center" wrapText="1"/>
    </xf>
    <xf numFmtId="49" fontId="12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4" fontId="12" fillId="2" borderId="12" xfId="1" applyNumberFormat="1" applyFont="1" applyFill="1" applyBorder="1" applyAlignment="1" applyProtection="1">
      <alignment horizontal="right" vertical="center" wrapText="1"/>
    </xf>
    <xf numFmtId="49" fontId="12" fillId="2" borderId="12" xfId="0" applyNumberFormat="1" applyFont="1" applyFill="1" applyBorder="1" applyAlignment="1">
      <alignment vertical="center" wrapText="1"/>
    </xf>
    <xf numFmtId="164" fontId="12" fillId="2" borderId="12" xfId="2" applyFont="1" applyFill="1" applyBorder="1" applyAlignment="1" applyProtection="1">
      <alignment horizontal="center" vertical="center" wrapText="1"/>
    </xf>
    <xf numFmtId="49" fontId="12" fillId="0" borderId="12" xfId="0" applyNumberFormat="1" applyFont="1" applyBorder="1" applyAlignment="1">
      <alignment vertical="center" wrapText="1"/>
    </xf>
    <xf numFmtId="164" fontId="12" fillId="2" borderId="16" xfId="2" applyFont="1" applyFill="1" applyBorder="1" applyAlignment="1" applyProtection="1">
      <alignment horizontal="center" vertical="center" wrapText="1"/>
    </xf>
    <xf numFmtId="49" fontId="12" fillId="0" borderId="16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vertical="center" wrapText="1"/>
    </xf>
    <xf numFmtId="167" fontId="12" fillId="0" borderId="0" xfId="0" applyNumberFormat="1" applyFont="1" applyBorder="1" applyAlignment="1">
      <alignment vertical="center" wrapText="1"/>
    </xf>
    <xf numFmtId="44" fontId="12" fillId="0" borderId="0" xfId="0" applyNumberFormat="1" applyFont="1" applyAlignment="1">
      <alignment wrapText="1"/>
    </xf>
    <xf numFmtId="0" fontId="12" fillId="0" borderId="0" xfId="0" applyFont="1" applyAlignment="1">
      <alignment horizontal="center" vertical="center" wrapText="1"/>
    </xf>
    <xf numFmtId="166" fontId="12" fillId="0" borderId="0" xfId="1" applyFont="1" applyBorder="1" applyAlignment="1" applyProtection="1">
      <alignment horizontal="center" vertical="center" wrapText="1"/>
    </xf>
    <xf numFmtId="164" fontId="12" fillId="0" borderId="0" xfId="2" applyFont="1" applyBorder="1" applyAlignment="1" applyProtection="1">
      <alignment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164" fontId="11" fillId="7" borderId="1" xfId="2" applyFont="1" applyFill="1" applyBorder="1" applyAlignment="1" applyProtection="1">
      <alignment horizontal="left" vertical="center"/>
    </xf>
    <xf numFmtId="4" fontId="12" fillId="0" borderId="12" xfId="2" applyNumberFormat="1" applyFont="1" applyBorder="1" applyAlignment="1" applyProtection="1">
      <alignment horizontal="right" vertical="center"/>
    </xf>
    <xf numFmtId="3" fontId="9" fillId="0" borderId="1" xfId="0" applyNumberFormat="1" applyFont="1" applyBorder="1" applyAlignment="1">
      <alignment horizontal="center" vertical="center"/>
    </xf>
    <xf numFmtId="4" fontId="12" fillId="4" borderId="16" xfId="1" applyNumberFormat="1" applyFont="1" applyFill="1" applyBorder="1" applyAlignment="1" applyProtection="1">
      <alignment horizontal="right" vertical="center" wrapText="1"/>
    </xf>
    <xf numFmtId="4" fontId="12" fillId="4" borderId="12" xfId="1" applyNumberFormat="1" applyFont="1" applyFill="1" applyBorder="1" applyAlignment="1" applyProtection="1">
      <alignment horizontal="right" vertical="center" wrapText="1"/>
    </xf>
    <xf numFmtId="10" fontId="6" fillId="12" borderId="1" xfId="4" applyNumberFormat="1" applyFont="1" applyFill="1" applyBorder="1" applyAlignment="1">
      <alignment horizontal="center" vertical="center" wrapText="1" readingOrder="1"/>
    </xf>
    <xf numFmtId="164" fontId="12" fillId="4" borderId="14" xfId="2" applyFont="1" applyFill="1" applyBorder="1" applyAlignment="1" applyProtection="1">
      <alignment horizontal="left" vertical="center" wrapText="1"/>
    </xf>
    <xf numFmtId="164" fontId="12" fillId="4" borderId="12" xfId="2" applyFont="1" applyFill="1" applyBorder="1" applyAlignment="1" applyProtection="1">
      <alignment horizontal="left" vertical="center" wrapText="1"/>
    </xf>
    <xf numFmtId="0" fontId="12" fillId="4" borderId="12" xfId="0" applyFont="1" applyFill="1" applyBorder="1" applyAlignment="1">
      <alignment vertical="center"/>
    </xf>
    <xf numFmtId="49" fontId="12" fillId="4" borderId="16" xfId="0" applyNumberFormat="1" applyFont="1" applyFill="1" applyBorder="1" applyAlignment="1">
      <alignment vertical="center" wrapText="1"/>
    </xf>
    <xf numFmtId="49" fontId="12" fillId="4" borderId="12" xfId="0" applyNumberFormat="1" applyFont="1" applyFill="1" applyBorder="1" applyAlignment="1">
      <alignment vertical="center" wrapText="1"/>
    </xf>
    <xf numFmtId="49" fontId="12" fillId="4" borderId="18" xfId="0" applyNumberFormat="1" applyFont="1" applyFill="1" applyBorder="1" applyAlignment="1">
      <alignment vertical="center" wrapText="1"/>
    </xf>
    <xf numFmtId="0" fontId="12" fillId="4" borderId="12" xfId="0" applyFont="1" applyFill="1" applyBorder="1" applyAlignment="1">
      <alignment horizontal="justify" vertical="center" wrapText="1"/>
    </xf>
    <xf numFmtId="49" fontId="12" fillId="13" borderId="16" xfId="0" applyNumberFormat="1" applyFont="1" applyFill="1" applyBorder="1" applyAlignment="1">
      <alignment vertical="center" wrapText="1"/>
    </xf>
    <xf numFmtId="49" fontId="12" fillId="13" borderId="12" xfId="0" applyNumberFormat="1" applyFont="1" applyFill="1" applyBorder="1" applyAlignment="1">
      <alignment vertical="center" wrapText="1"/>
    </xf>
    <xf numFmtId="49" fontId="11" fillId="6" borderId="5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11" fillId="7" borderId="13" xfId="2" applyFont="1" applyFill="1" applyBorder="1" applyAlignment="1" applyProtection="1">
      <alignment vertical="center" wrapText="1"/>
    </xf>
    <xf numFmtId="164" fontId="11" fillId="7" borderId="6" xfId="2" applyFont="1" applyFill="1" applyBorder="1" applyAlignment="1" applyProtection="1">
      <alignment vertical="center" wrapText="1"/>
    </xf>
    <xf numFmtId="49" fontId="11" fillId="7" borderId="1" xfId="2" applyNumberFormat="1" applyFont="1" applyFill="1" applyBorder="1" applyAlignment="1" applyProtection="1">
      <alignment horizontal="center" vertical="center" wrapText="1"/>
    </xf>
    <xf numFmtId="4" fontId="12" fillId="10" borderId="14" xfId="2" applyNumberFormat="1" applyFont="1" applyFill="1" applyBorder="1" applyAlignment="1" applyProtection="1">
      <alignment horizontal="right" vertical="center" wrapText="1"/>
    </xf>
    <xf numFmtId="4" fontId="12" fillId="10" borderId="12" xfId="2" applyNumberFormat="1" applyFont="1" applyFill="1" applyBorder="1" applyAlignment="1" applyProtection="1">
      <alignment horizontal="right" vertical="center" wrapText="1"/>
    </xf>
    <xf numFmtId="4" fontId="12" fillId="10" borderId="16" xfId="2" applyNumberFormat="1" applyFont="1" applyFill="1" applyBorder="1" applyAlignment="1" applyProtection="1">
      <alignment horizontal="right" vertical="center" wrapText="1"/>
    </xf>
    <xf numFmtId="0" fontId="11" fillId="0" borderId="4" xfId="0" applyFont="1" applyBorder="1" applyAlignment="1">
      <alignment horizontal="center" vertical="center" wrapText="1"/>
    </xf>
    <xf numFmtId="10" fontId="4" fillId="15" borderId="13" xfId="0" applyNumberFormat="1" applyFont="1" applyFill="1" applyBorder="1" applyAlignment="1">
      <alignment horizontal="center" vertical="center" readingOrder="1"/>
    </xf>
    <xf numFmtId="10" fontId="4" fillId="15" borderId="6" xfId="0" applyNumberFormat="1" applyFont="1" applyFill="1" applyBorder="1" applyAlignment="1">
      <alignment horizontal="center" vertical="center" readingOrder="1"/>
    </xf>
    <xf numFmtId="10" fontId="4" fillId="15" borderId="4" xfId="0" applyNumberFormat="1" applyFont="1" applyFill="1" applyBorder="1" applyAlignment="1">
      <alignment horizontal="center" vertical="center" readingOrder="1"/>
    </xf>
    <xf numFmtId="0" fontId="1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3" fontId="0" fillId="4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9" fillId="4" borderId="1" xfId="0" applyFont="1" applyFill="1" applyBorder="1" applyAlignment="1">
      <alignment vertical="center"/>
    </xf>
    <xf numFmtId="3" fontId="9" fillId="4" borderId="1" xfId="0" applyNumberFormat="1" applyFont="1" applyFill="1" applyBorder="1" applyAlignment="1">
      <alignment horizontal="center" vertical="center"/>
    </xf>
    <xf numFmtId="3" fontId="8" fillId="8" borderId="1" xfId="0" applyNumberFormat="1" applyFont="1" applyFill="1" applyBorder="1" applyAlignment="1">
      <alignment horizontal="center" vertical="center"/>
    </xf>
    <xf numFmtId="164" fontId="11" fillId="5" borderId="1" xfId="2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8" fillId="4" borderId="11" xfId="7" applyFont="1" applyFill="1" applyBorder="1" applyAlignment="1" applyProtection="1">
      <alignment vertical="center"/>
      <protection locked="0"/>
    </xf>
    <xf numFmtId="0" fontId="19" fillId="4" borderId="23" xfId="7" applyFont="1" applyFill="1" applyBorder="1" applyAlignment="1">
      <alignment horizontal="left" vertical="center"/>
    </xf>
    <xf numFmtId="10" fontId="19" fillId="4" borderId="23" xfId="7" applyNumberFormat="1" applyFont="1" applyFill="1" applyBorder="1" applyAlignment="1">
      <alignment vertical="center"/>
    </xf>
    <xf numFmtId="0" fontId="19" fillId="4" borderId="26" xfId="7" applyFont="1" applyFill="1" applyBorder="1" applyAlignment="1">
      <alignment horizontal="left" vertical="center"/>
    </xf>
    <xf numFmtId="10" fontId="19" fillId="4" borderId="26" xfId="7" applyNumberFormat="1" applyFont="1" applyFill="1" applyBorder="1" applyAlignment="1">
      <alignment vertical="center"/>
    </xf>
    <xf numFmtId="0" fontId="19" fillId="4" borderId="29" xfId="7" applyFont="1" applyFill="1" applyBorder="1" applyAlignment="1">
      <alignment horizontal="left" vertical="center"/>
    </xf>
    <xf numFmtId="0" fontId="19" fillId="4" borderId="19" xfId="7" applyFont="1" applyFill="1" applyBorder="1" applyAlignment="1">
      <alignment vertical="center"/>
    </xf>
    <xf numFmtId="10" fontId="19" fillId="4" borderId="19" xfId="7" applyNumberFormat="1" applyFont="1" applyFill="1" applyBorder="1" applyAlignment="1">
      <alignment vertical="center"/>
    </xf>
    <xf numFmtId="10" fontId="19" fillId="4" borderId="20" xfId="7" applyNumberFormat="1" applyFont="1" applyFill="1" applyBorder="1" applyAlignment="1">
      <alignment vertical="center"/>
    </xf>
    <xf numFmtId="10" fontId="19" fillId="4" borderId="15" xfId="8" applyNumberFormat="1" applyFont="1" applyFill="1" applyBorder="1" applyAlignment="1" applyProtection="1">
      <alignment vertical="center"/>
      <protection locked="0"/>
    </xf>
    <xf numFmtId="0" fontId="19" fillId="4" borderId="24" xfId="7" applyFont="1" applyFill="1" applyBorder="1" applyAlignment="1">
      <alignment horizontal="center" vertical="center"/>
    </xf>
    <xf numFmtId="0" fontId="19" fillId="4" borderId="27" xfId="7" applyFont="1" applyFill="1" applyBorder="1" applyAlignment="1">
      <alignment horizontal="center" vertical="center"/>
    </xf>
    <xf numFmtId="0" fontId="19" fillId="12" borderId="8" xfId="7" applyFont="1" applyFill="1" applyBorder="1"/>
    <xf numFmtId="0" fontId="19" fillId="5" borderId="1" xfId="7" applyFont="1" applyFill="1" applyBorder="1" applyAlignment="1">
      <alignment horizontal="left" vertical="center"/>
    </xf>
    <xf numFmtId="10" fontId="20" fillId="18" borderId="1" xfId="8" applyNumberFormat="1" applyFont="1" applyFill="1" applyBorder="1" applyAlignment="1">
      <alignment vertical="center"/>
    </xf>
    <xf numFmtId="10" fontId="19" fillId="4" borderId="14" xfId="8" applyNumberFormat="1" applyFont="1" applyFill="1" applyBorder="1" applyAlignment="1" applyProtection="1">
      <alignment vertical="center"/>
      <protection locked="0"/>
    </xf>
    <xf numFmtId="10" fontId="19" fillId="4" borderId="12" xfId="8" applyNumberFormat="1" applyFont="1" applyFill="1" applyBorder="1" applyAlignment="1" applyProtection="1">
      <alignment vertical="center"/>
      <protection locked="0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9" fillId="4" borderId="7" xfId="7" applyFont="1" applyFill="1" applyBorder="1"/>
    <xf numFmtId="0" fontId="19" fillId="4" borderId="0" xfId="7" applyFont="1" applyFill="1" applyBorder="1"/>
    <xf numFmtId="0" fontId="19" fillId="4" borderId="8" xfId="7" applyFont="1" applyFill="1" applyBorder="1"/>
    <xf numFmtId="49" fontId="12" fillId="2" borderId="18" xfId="0" applyNumberFormat="1" applyFont="1" applyFill="1" applyBorder="1" applyAlignment="1">
      <alignment horizontal="center" vertical="center" wrapText="1"/>
    </xf>
    <xf numFmtId="49" fontId="12" fillId="0" borderId="18" xfId="0" applyNumberFormat="1" applyFont="1" applyFill="1" applyBorder="1" applyAlignment="1">
      <alignment horizontal="center" vertical="center" wrapText="1"/>
    </xf>
    <xf numFmtId="49" fontId="12" fillId="13" borderId="18" xfId="0" applyNumberFormat="1" applyFont="1" applyFill="1" applyBorder="1" applyAlignment="1">
      <alignment vertical="center" wrapText="1"/>
    </xf>
    <xf numFmtId="49" fontId="12" fillId="0" borderId="16" xfId="0" applyNumberFormat="1" applyFont="1" applyFill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center" vertical="center" wrapText="1"/>
    </xf>
    <xf numFmtId="4" fontId="12" fillId="4" borderId="18" xfId="1" applyNumberFormat="1" applyFont="1" applyFill="1" applyBorder="1" applyAlignment="1" applyProtection="1">
      <alignment horizontal="right" vertical="center" wrapText="1"/>
    </xf>
    <xf numFmtId="4" fontId="12" fillId="2" borderId="18" xfId="2" applyNumberFormat="1" applyFont="1" applyFill="1" applyBorder="1" applyAlignment="1" applyProtection="1">
      <alignment horizontal="right" vertical="center" wrapText="1"/>
    </xf>
    <xf numFmtId="4" fontId="21" fillId="0" borderId="36" xfId="0" applyNumberFormat="1" applyFont="1" applyBorder="1" applyAlignment="1">
      <alignment horizontal="right" vertical="center" wrapText="1"/>
    </xf>
    <xf numFmtId="4" fontId="21" fillId="0" borderId="37" xfId="0" applyNumberFormat="1" applyFont="1" applyBorder="1" applyAlignment="1">
      <alignment horizontal="right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4" fontId="21" fillId="0" borderId="14" xfId="0" applyNumberFormat="1" applyFont="1" applyBorder="1" applyAlignment="1">
      <alignment horizontal="right" vertical="center" wrapText="1"/>
    </xf>
    <xf numFmtId="0" fontId="21" fillId="0" borderId="14" xfId="0" applyFont="1" applyBorder="1" applyAlignment="1">
      <alignment horizontal="right" vertical="center" wrapText="1"/>
    </xf>
    <xf numFmtId="4" fontId="21" fillId="0" borderId="39" xfId="0" applyNumberFormat="1" applyFont="1" applyBorder="1" applyAlignment="1">
      <alignment horizontal="right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4" fontId="21" fillId="0" borderId="12" xfId="0" applyNumberFormat="1" applyFont="1" applyBorder="1" applyAlignment="1">
      <alignment horizontal="right" vertical="center" wrapText="1"/>
    </xf>
    <xf numFmtId="0" fontId="21" fillId="0" borderId="12" xfId="0" applyFont="1" applyBorder="1" applyAlignment="1">
      <alignment horizontal="right" vertical="center" wrapText="1"/>
    </xf>
    <xf numFmtId="164" fontId="12" fillId="10" borderId="18" xfId="2" applyFont="1" applyFill="1" applyBorder="1" applyAlignment="1" applyProtection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left" vertical="center" wrapText="1"/>
    </xf>
    <xf numFmtId="4" fontId="21" fillId="0" borderId="18" xfId="0" applyNumberFormat="1" applyFont="1" applyBorder="1" applyAlignment="1">
      <alignment horizontal="right" vertical="center" wrapText="1"/>
    </xf>
    <xf numFmtId="0" fontId="21" fillId="0" borderId="18" xfId="0" applyFont="1" applyBorder="1" applyAlignment="1">
      <alignment horizontal="right" vertical="center" wrapText="1"/>
    </xf>
    <xf numFmtId="4" fontId="21" fillId="0" borderId="40" xfId="0" applyNumberFormat="1" applyFont="1" applyBorder="1" applyAlignment="1">
      <alignment horizontal="right" vertical="center" wrapText="1"/>
    </xf>
    <xf numFmtId="4" fontId="12" fillId="2" borderId="18" xfId="1" applyNumberFormat="1" applyFont="1" applyFill="1" applyBorder="1" applyAlignment="1" applyProtection="1">
      <alignment horizontal="right" vertical="center" wrapText="1"/>
    </xf>
    <xf numFmtId="4" fontId="21" fillId="0" borderId="4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1" fillId="5" borderId="1" xfId="2" applyFont="1" applyFill="1" applyBorder="1" applyAlignment="1" applyProtection="1">
      <alignment horizontal="center" vertical="center" wrapText="1"/>
    </xf>
    <xf numFmtId="164" fontId="23" fillId="17" borderId="17" xfId="2" applyFont="1" applyFill="1" applyBorder="1" applyAlignment="1" applyProtection="1">
      <alignment horizontal="center" vertical="center" wrapText="1"/>
    </xf>
    <xf numFmtId="164" fontId="23" fillId="17" borderId="17" xfId="0" applyNumberFormat="1" applyFont="1" applyFill="1" applyBorder="1" applyAlignment="1">
      <alignment vertical="center" wrapText="1"/>
    </xf>
    <xf numFmtId="164" fontId="12" fillId="19" borderId="16" xfId="2" applyFont="1" applyFill="1" applyBorder="1" applyAlignment="1" applyProtection="1">
      <alignment horizontal="center" vertical="center" wrapText="1"/>
    </xf>
    <xf numFmtId="49" fontId="12" fillId="20" borderId="16" xfId="0" applyNumberFormat="1" applyFont="1" applyFill="1" applyBorder="1" applyAlignment="1">
      <alignment horizontal="center" vertical="center" wrapText="1"/>
    </xf>
    <xf numFmtId="49" fontId="12" fillId="20" borderId="16" xfId="0" applyNumberFormat="1" applyFont="1" applyFill="1" applyBorder="1" applyAlignment="1">
      <alignment horizontal="left" vertical="center" wrapText="1"/>
    </xf>
    <xf numFmtId="49" fontId="12" fillId="21" borderId="12" xfId="0" applyNumberFormat="1" applyFont="1" applyFill="1" applyBorder="1" applyAlignment="1">
      <alignment horizontal="center" vertical="center" wrapText="1"/>
    </xf>
    <xf numFmtId="4" fontId="12" fillId="20" borderId="16" xfId="1" applyNumberFormat="1" applyFont="1" applyFill="1" applyBorder="1" applyAlignment="1" applyProtection="1">
      <alignment horizontal="right" vertical="center" wrapText="1"/>
    </xf>
    <xf numFmtId="4" fontId="12" fillId="21" borderId="16" xfId="1" applyNumberFormat="1" applyFont="1" applyFill="1" applyBorder="1" applyAlignment="1" applyProtection="1">
      <alignment horizontal="right" vertical="center" wrapText="1"/>
    </xf>
    <xf numFmtId="4" fontId="12" fillId="20" borderId="16" xfId="2" applyNumberFormat="1" applyFont="1" applyFill="1" applyBorder="1" applyAlignment="1" applyProtection="1">
      <alignment horizontal="right" vertical="center" wrapText="1"/>
    </xf>
    <xf numFmtId="4" fontId="12" fillId="21" borderId="16" xfId="2" applyNumberFormat="1" applyFont="1" applyFill="1" applyBorder="1" applyAlignment="1" applyProtection="1">
      <alignment horizontal="right" vertical="center" wrapText="1"/>
    </xf>
    <xf numFmtId="49" fontId="12" fillId="20" borderId="12" xfId="0" applyNumberFormat="1" applyFont="1" applyFill="1" applyBorder="1" applyAlignment="1">
      <alignment horizontal="center" vertical="center" wrapText="1"/>
    </xf>
    <xf numFmtId="49" fontId="12" fillId="20" borderId="12" xfId="0" applyNumberFormat="1" applyFont="1" applyFill="1" applyBorder="1" applyAlignment="1">
      <alignment vertical="center" wrapText="1"/>
    </xf>
    <xf numFmtId="4" fontId="12" fillId="20" borderId="12" xfId="1" applyNumberFormat="1" applyFont="1" applyFill="1" applyBorder="1" applyAlignment="1" applyProtection="1">
      <alignment horizontal="right" vertical="center" wrapText="1"/>
    </xf>
    <xf numFmtId="4" fontId="12" fillId="21" borderId="12" xfId="1" applyNumberFormat="1" applyFont="1" applyFill="1" applyBorder="1" applyAlignment="1" applyProtection="1">
      <alignment horizontal="right" vertical="center" wrapText="1"/>
    </xf>
    <xf numFmtId="4" fontId="12" fillId="20" borderId="12" xfId="2" applyNumberFormat="1" applyFont="1" applyFill="1" applyBorder="1" applyAlignment="1" applyProtection="1">
      <alignment horizontal="right" vertical="center" wrapText="1"/>
    </xf>
    <xf numFmtId="169" fontId="12" fillId="21" borderId="1" xfId="2" applyNumberFormat="1" applyFont="1" applyFill="1" applyBorder="1" applyAlignment="1" applyProtection="1">
      <alignment horizontal="center" vertical="center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13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10" fontId="11" fillId="21" borderId="1" xfId="0" applyNumberFormat="1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2" fillId="21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 wrapText="1"/>
    </xf>
    <xf numFmtId="0" fontId="8" fillId="14" borderId="6" xfId="0" applyFont="1" applyFill="1" applyBorder="1" applyAlignment="1">
      <alignment horizontal="center" vertical="center" wrapText="1"/>
    </xf>
    <xf numFmtId="164" fontId="8" fillId="7" borderId="5" xfId="2" applyFont="1" applyFill="1" applyBorder="1" applyAlignment="1" applyProtection="1">
      <alignment horizontal="center" vertical="center" wrapText="1"/>
    </xf>
    <xf numFmtId="164" fontId="8" fillId="7" borderId="6" xfId="2" applyFont="1" applyFill="1" applyBorder="1" applyAlignment="1" applyProtection="1">
      <alignment horizontal="center" vertical="center" wrapText="1"/>
    </xf>
    <xf numFmtId="0" fontId="22" fillId="17" borderId="5" xfId="0" applyFont="1" applyFill="1" applyBorder="1" applyAlignment="1">
      <alignment horizontal="center" vertical="center" wrapText="1"/>
    </xf>
    <xf numFmtId="0" fontId="22" fillId="17" borderId="13" xfId="0" applyFont="1" applyFill="1" applyBorder="1" applyAlignment="1">
      <alignment horizontal="center" vertical="center" wrapText="1"/>
    </xf>
    <xf numFmtId="0" fontId="22" fillId="17" borderId="6" xfId="0" applyFont="1" applyFill="1" applyBorder="1" applyAlignment="1">
      <alignment horizontal="center" vertical="center" wrapText="1"/>
    </xf>
    <xf numFmtId="164" fontId="11" fillId="7" borderId="5" xfId="2" applyFont="1" applyFill="1" applyBorder="1" applyAlignment="1" applyProtection="1">
      <alignment horizontal="left" vertical="center" wrapText="1"/>
    </xf>
    <xf numFmtId="164" fontId="11" fillId="7" borderId="13" xfId="2" applyFont="1" applyFill="1" applyBorder="1" applyAlignment="1" applyProtection="1">
      <alignment horizontal="left" vertical="center" wrapText="1"/>
    </xf>
    <xf numFmtId="164" fontId="11" fillId="7" borderId="6" xfId="2" applyFont="1" applyFill="1" applyBorder="1" applyAlignment="1" applyProtection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2" fillId="10" borderId="5" xfId="2" applyFont="1" applyFill="1" applyBorder="1" applyAlignment="1" applyProtection="1">
      <alignment horizontal="center" vertical="center" wrapText="1"/>
    </xf>
    <xf numFmtId="164" fontId="12" fillId="10" borderId="13" xfId="2" applyFont="1" applyFill="1" applyBorder="1" applyAlignment="1" applyProtection="1">
      <alignment horizontal="center" vertical="center" wrapText="1"/>
    </xf>
    <xf numFmtId="164" fontId="12" fillId="10" borderId="6" xfId="2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21" borderId="5" xfId="0" applyFont="1" applyFill="1" applyBorder="1" applyAlignment="1">
      <alignment horizontal="center" vertical="center" wrapText="1"/>
    </xf>
    <xf numFmtId="0" fontId="11" fillId="21" borderId="13" xfId="0" applyFont="1" applyFill="1" applyBorder="1" applyAlignment="1">
      <alignment horizontal="center" vertical="center" wrapText="1"/>
    </xf>
    <xf numFmtId="0" fontId="11" fillId="21" borderId="6" xfId="0" applyFont="1" applyFill="1" applyBorder="1" applyAlignment="1">
      <alignment horizontal="center" vertical="center" wrapText="1"/>
    </xf>
    <xf numFmtId="0" fontId="23" fillId="17" borderId="17" xfId="0" applyFont="1" applyFill="1" applyBorder="1" applyAlignment="1">
      <alignment horizontal="center" vertical="center" wrapText="1"/>
    </xf>
    <xf numFmtId="49" fontId="11" fillId="6" borderId="5" xfId="0" applyNumberFormat="1" applyFont="1" applyFill="1" applyBorder="1" applyAlignment="1">
      <alignment horizontal="left" vertical="center" wrapText="1"/>
    </xf>
    <xf numFmtId="49" fontId="11" fillId="6" borderId="13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16" borderId="1" xfId="0" applyFont="1" applyFill="1" applyBorder="1" applyAlignment="1">
      <alignment horizontal="center" vertical="center"/>
    </xf>
    <xf numFmtId="0" fontId="8" fillId="16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19" fillId="12" borderId="5" xfId="7" applyFont="1" applyFill="1" applyBorder="1" applyAlignment="1">
      <alignment horizontal="center" vertical="center"/>
    </xf>
    <xf numFmtId="0" fontId="19" fillId="12" borderId="13" xfId="7" applyFont="1" applyFill="1" applyBorder="1" applyAlignment="1">
      <alignment horizontal="center" vertical="center"/>
    </xf>
    <xf numFmtId="0" fontId="19" fillId="12" borderId="6" xfId="7" applyFont="1" applyFill="1" applyBorder="1" applyAlignment="1">
      <alignment horizontal="center" vertical="center"/>
    </xf>
    <xf numFmtId="0" fontId="18" fillId="4" borderId="9" xfId="7" applyFont="1" applyFill="1" applyBorder="1" applyAlignment="1" applyProtection="1">
      <alignment horizontal="left" vertical="center"/>
      <protection locked="0"/>
    </xf>
    <xf numFmtId="0" fontId="18" fillId="4" borderId="10" xfId="7" applyFont="1" applyFill="1" applyBorder="1" applyAlignment="1" applyProtection="1">
      <alignment horizontal="left" vertical="center"/>
      <protection locked="0"/>
    </xf>
    <xf numFmtId="0" fontId="18" fillId="4" borderId="11" xfId="7" applyFont="1" applyFill="1" applyBorder="1" applyAlignment="1" applyProtection="1">
      <alignment horizontal="left" vertical="center"/>
      <protection locked="0"/>
    </xf>
    <xf numFmtId="0" fontId="19" fillId="12" borderId="2" xfId="7" applyFont="1" applyFill="1" applyBorder="1" applyAlignment="1">
      <alignment horizontal="left" vertical="center"/>
    </xf>
    <xf numFmtId="0" fontId="19" fillId="12" borderId="3" xfId="7" applyFont="1" applyFill="1" applyBorder="1" applyAlignment="1">
      <alignment horizontal="left" vertical="center"/>
    </xf>
    <xf numFmtId="0" fontId="19" fillId="12" borderId="4" xfId="7" applyFont="1" applyFill="1" applyBorder="1" applyAlignment="1">
      <alignment horizontal="left" vertical="center"/>
    </xf>
    <xf numFmtId="0" fontId="19" fillId="12" borderId="2" xfId="7" applyFont="1" applyFill="1" applyBorder="1" applyAlignment="1">
      <alignment horizontal="left"/>
    </xf>
    <xf numFmtId="0" fontId="19" fillId="12" borderId="3" xfId="7" applyFont="1" applyFill="1" applyBorder="1" applyAlignment="1">
      <alignment horizontal="left"/>
    </xf>
    <xf numFmtId="0" fontId="19" fillId="12" borderId="4" xfId="7" applyFont="1" applyFill="1" applyBorder="1" applyAlignment="1">
      <alignment horizontal="left"/>
    </xf>
    <xf numFmtId="0" fontId="19" fillId="4" borderId="33" xfId="7" applyFont="1" applyFill="1" applyBorder="1" applyAlignment="1">
      <alignment horizontal="center" vertical="center"/>
    </xf>
    <xf numFmtId="0" fontId="19" fillId="4" borderId="27" xfId="7" applyFont="1" applyFill="1" applyBorder="1" applyAlignment="1">
      <alignment horizontal="center" vertical="center"/>
    </xf>
    <xf numFmtId="0" fontId="19" fillId="4" borderId="28" xfId="7" applyFont="1" applyFill="1" applyBorder="1" applyAlignment="1">
      <alignment horizontal="center" vertical="center"/>
    </xf>
    <xf numFmtId="0" fontId="19" fillId="4" borderId="35" xfId="7" applyFont="1" applyFill="1" applyBorder="1" applyAlignment="1">
      <alignment horizontal="center" vertical="center"/>
    </xf>
    <xf numFmtId="0" fontId="19" fillId="4" borderId="30" xfId="7" applyFont="1" applyFill="1" applyBorder="1" applyAlignment="1">
      <alignment horizontal="center" vertical="center"/>
    </xf>
    <xf numFmtId="0" fontId="19" fillId="4" borderId="31" xfId="7" applyFont="1" applyFill="1" applyBorder="1" applyAlignment="1">
      <alignment horizontal="center" vertical="center"/>
    </xf>
    <xf numFmtId="0" fontId="19" fillId="4" borderId="34" xfId="7" applyFont="1" applyFill="1" applyBorder="1" applyAlignment="1">
      <alignment horizontal="center" vertical="center"/>
    </xf>
    <xf numFmtId="0" fontId="19" fillId="4" borderId="20" xfId="7" applyFont="1" applyFill="1" applyBorder="1" applyAlignment="1">
      <alignment horizontal="center" vertical="center"/>
    </xf>
    <xf numFmtId="0" fontId="19" fillId="4" borderId="21" xfId="7" applyFont="1" applyFill="1" applyBorder="1" applyAlignment="1">
      <alignment horizontal="center" vertical="center"/>
    </xf>
    <xf numFmtId="10" fontId="19" fillId="4" borderId="24" xfId="7" applyNumberFormat="1" applyFont="1" applyFill="1" applyBorder="1" applyAlignment="1">
      <alignment horizontal="center" vertical="center"/>
    </xf>
    <xf numFmtId="10" fontId="19" fillId="4" borderId="25" xfId="7" applyNumberFormat="1" applyFont="1" applyFill="1" applyBorder="1" applyAlignment="1">
      <alignment horizontal="center" vertical="center"/>
    </xf>
    <xf numFmtId="10" fontId="19" fillId="4" borderId="27" xfId="7" applyNumberFormat="1" applyFont="1" applyFill="1" applyBorder="1" applyAlignment="1">
      <alignment horizontal="center" vertical="center"/>
    </xf>
    <xf numFmtId="10" fontId="19" fillId="4" borderId="28" xfId="7" applyNumberFormat="1" applyFont="1" applyFill="1" applyBorder="1" applyAlignment="1">
      <alignment horizontal="center" vertical="center"/>
    </xf>
    <xf numFmtId="10" fontId="19" fillId="4" borderId="20" xfId="7" applyNumberFormat="1" applyFont="1" applyFill="1" applyBorder="1" applyAlignment="1">
      <alignment horizontal="center" vertical="center"/>
    </xf>
    <xf numFmtId="10" fontId="19" fillId="4" borderId="21" xfId="7" applyNumberFormat="1" applyFont="1" applyFill="1" applyBorder="1" applyAlignment="1">
      <alignment horizontal="center" vertical="center"/>
    </xf>
    <xf numFmtId="10" fontId="19" fillId="12" borderId="5" xfId="7" applyNumberFormat="1" applyFont="1" applyFill="1" applyBorder="1" applyAlignment="1">
      <alignment horizontal="center" vertical="center"/>
    </xf>
    <xf numFmtId="10" fontId="19" fillId="12" borderId="13" xfId="7" applyNumberFormat="1" applyFont="1" applyFill="1" applyBorder="1" applyAlignment="1">
      <alignment horizontal="center" vertical="center"/>
    </xf>
    <xf numFmtId="10" fontId="19" fillId="12" borderId="6" xfId="7" applyNumberFormat="1" applyFont="1" applyFill="1" applyBorder="1" applyAlignment="1">
      <alignment horizontal="center" vertical="center"/>
    </xf>
    <xf numFmtId="0" fontId="19" fillId="4" borderId="32" xfId="7" applyFont="1" applyFill="1" applyBorder="1" applyAlignment="1">
      <alignment horizontal="center" vertical="center"/>
    </xf>
    <xf numFmtId="0" fontId="19" fillId="4" borderId="24" xfId="7" applyFont="1" applyFill="1" applyBorder="1" applyAlignment="1">
      <alignment horizontal="center" vertical="center"/>
    </xf>
    <xf numFmtId="0" fontId="19" fillId="4" borderId="25" xfId="7" applyFont="1" applyFill="1" applyBorder="1" applyAlignment="1">
      <alignment horizontal="center" vertical="center"/>
    </xf>
    <xf numFmtId="0" fontId="18" fillId="4" borderId="9" xfId="7" applyFont="1" applyFill="1" applyBorder="1" applyAlignment="1" applyProtection="1">
      <alignment horizontal="left" vertical="center" wrapText="1"/>
      <protection locked="0"/>
    </xf>
    <xf numFmtId="0" fontId="18" fillId="4" borderId="10" xfId="7" applyFont="1" applyFill="1" applyBorder="1" applyAlignment="1" applyProtection="1">
      <alignment horizontal="left" vertical="center" wrapText="1"/>
      <protection locked="0"/>
    </xf>
    <xf numFmtId="0" fontId="18" fillId="4" borderId="11" xfId="7" applyFont="1" applyFill="1" applyBorder="1" applyAlignment="1" applyProtection="1">
      <alignment horizontal="left" vertical="center" wrapText="1"/>
      <protection locked="0"/>
    </xf>
    <xf numFmtId="0" fontId="18" fillId="12" borderId="5" xfId="7" applyFont="1" applyFill="1" applyBorder="1" applyAlignment="1">
      <alignment horizontal="center" vertical="center"/>
    </xf>
    <xf numFmtId="0" fontId="18" fillId="12" borderId="13" xfId="7" applyFont="1" applyFill="1" applyBorder="1" applyAlignment="1">
      <alignment horizontal="center" vertical="center"/>
    </xf>
    <xf numFmtId="0" fontId="18" fillId="12" borderId="6" xfId="7" applyFont="1" applyFill="1" applyBorder="1" applyAlignment="1">
      <alignment horizontal="center" vertical="center"/>
    </xf>
    <xf numFmtId="0" fontId="18" fillId="12" borderId="17" xfId="7" applyFont="1" applyFill="1" applyBorder="1" applyAlignment="1">
      <alignment horizontal="center" vertical="center"/>
    </xf>
    <xf numFmtId="0" fontId="18" fillId="12" borderId="22" xfId="7" applyFont="1" applyFill="1" applyBorder="1" applyAlignment="1">
      <alignment horizontal="center" vertical="center"/>
    </xf>
    <xf numFmtId="0" fontId="18" fillId="12" borderId="2" xfId="7" applyFont="1" applyFill="1" applyBorder="1" applyAlignment="1">
      <alignment horizontal="center" vertical="center" wrapText="1"/>
    </xf>
    <xf numFmtId="0" fontId="18" fillId="12" borderId="3" xfId="7" applyFont="1" applyFill="1" applyBorder="1" applyAlignment="1">
      <alignment horizontal="center" vertical="center" wrapText="1"/>
    </xf>
    <xf numFmtId="0" fontId="18" fillId="12" borderId="4" xfId="7" applyFont="1" applyFill="1" applyBorder="1" applyAlignment="1">
      <alignment horizontal="center" vertical="center" wrapText="1"/>
    </xf>
    <xf numFmtId="0" fontId="18" fillId="12" borderId="9" xfId="7" applyFont="1" applyFill="1" applyBorder="1" applyAlignment="1">
      <alignment horizontal="center" vertical="center" wrapText="1"/>
    </xf>
    <xf numFmtId="0" fontId="18" fillId="12" borderId="10" xfId="7" applyFont="1" applyFill="1" applyBorder="1" applyAlignment="1">
      <alignment horizontal="center" vertical="center" wrapText="1"/>
    </xf>
    <xf numFmtId="0" fontId="18" fillId="12" borderId="11" xfId="7" applyFont="1" applyFill="1" applyBorder="1" applyAlignment="1">
      <alignment horizontal="center" vertical="center" wrapText="1"/>
    </xf>
    <xf numFmtId="0" fontId="18" fillId="12" borderId="2" xfId="7" applyFont="1" applyFill="1" applyBorder="1" applyAlignment="1">
      <alignment horizontal="center" vertical="center"/>
    </xf>
    <xf numFmtId="0" fontId="18" fillId="12" borderId="4" xfId="7" applyFont="1" applyFill="1" applyBorder="1" applyAlignment="1">
      <alignment horizontal="center" vertical="center"/>
    </xf>
    <xf numFmtId="0" fontId="18" fillId="12" borderId="9" xfId="7" applyFont="1" applyFill="1" applyBorder="1" applyAlignment="1">
      <alignment horizontal="center" vertical="center"/>
    </xf>
    <xf numFmtId="0" fontId="18" fillId="12" borderId="11" xfId="7" applyFont="1" applyFill="1" applyBorder="1" applyAlignment="1">
      <alignment horizontal="center" vertical="center"/>
    </xf>
    <xf numFmtId="0" fontId="18" fillId="14" borderId="2" xfId="7" applyFont="1" applyFill="1" applyBorder="1" applyAlignment="1">
      <alignment horizontal="center" vertical="center"/>
    </xf>
    <xf numFmtId="0" fontId="18" fillId="14" borderId="3" xfId="7" applyFont="1" applyFill="1" applyBorder="1" applyAlignment="1">
      <alignment horizontal="center" vertical="center"/>
    </xf>
    <xf numFmtId="0" fontId="18" fillId="14" borderId="4" xfId="7" applyFont="1" applyFill="1" applyBorder="1" applyAlignment="1">
      <alignment horizontal="center" vertical="center"/>
    </xf>
    <xf numFmtId="0" fontId="18" fillId="14" borderId="9" xfId="7" applyFont="1" applyFill="1" applyBorder="1" applyAlignment="1">
      <alignment horizontal="center" vertical="center"/>
    </xf>
    <xf numFmtId="0" fontId="18" fillId="14" borderId="10" xfId="7" applyFont="1" applyFill="1" applyBorder="1" applyAlignment="1">
      <alignment horizontal="center" vertical="center"/>
    </xf>
    <xf numFmtId="0" fontId="18" fillId="14" borderId="11" xfId="7" applyFont="1" applyFill="1" applyBorder="1" applyAlignment="1">
      <alignment horizontal="center" vertical="center"/>
    </xf>
    <xf numFmtId="4" fontId="5" fillId="11" borderId="13" xfId="4" applyFont="1" applyFill="1" applyBorder="1" applyAlignment="1">
      <alignment horizontal="center" vertical="center" wrapText="1" readingOrder="1"/>
    </xf>
    <xf numFmtId="4" fontId="5" fillId="11" borderId="6" xfId="4" applyFont="1" applyFill="1" applyBorder="1" applyAlignment="1">
      <alignment horizontal="center" vertical="center" wrapText="1" readingOrder="1"/>
    </xf>
    <xf numFmtId="4" fontId="6" fillId="12" borderId="1" xfId="4" applyFont="1" applyFill="1" applyBorder="1" applyAlignment="1">
      <alignment horizontal="center" vertical="center" wrapText="1" readingOrder="1"/>
    </xf>
    <xf numFmtId="4" fontId="4" fillId="0" borderId="13" xfId="4" applyFont="1" applyFill="1" applyBorder="1" applyAlignment="1">
      <alignment horizontal="left" vertical="center" readingOrder="1"/>
    </xf>
    <xf numFmtId="4" fontId="4" fillId="0" borderId="6" xfId="4" applyFont="1" applyFill="1" applyBorder="1" applyAlignment="1">
      <alignment horizontal="left" vertical="center" readingOrder="1"/>
    </xf>
    <xf numFmtId="0" fontId="4" fillId="0" borderId="5" xfId="0" applyFont="1" applyFill="1" applyBorder="1" applyAlignment="1">
      <alignment horizontal="center" vertical="center" readingOrder="1"/>
    </xf>
    <xf numFmtId="0" fontId="4" fillId="0" borderId="6" xfId="0" applyFont="1" applyFill="1" applyBorder="1" applyAlignment="1">
      <alignment horizontal="center" vertical="center" readingOrder="1"/>
    </xf>
    <xf numFmtId="4" fontId="4" fillId="0" borderId="2" xfId="4" applyFont="1" applyFill="1" applyBorder="1" applyAlignment="1">
      <alignment horizontal="left" vertical="center" wrapText="1" readingOrder="1"/>
    </xf>
    <xf numFmtId="4" fontId="4" fillId="0" borderId="3" xfId="4" applyFont="1" applyFill="1" applyBorder="1" applyAlignment="1">
      <alignment horizontal="left" vertical="center" wrapText="1" readingOrder="1"/>
    </xf>
    <xf numFmtId="4" fontId="4" fillId="0" borderId="4" xfId="4" applyFont="1" applyFill="1" applyBorder="1" applyAlignment="1">
      <alignment horizontal="left" vertical="center" wrapText="1" readingOrder="1"/>
    </xf>
    <xf numFmtId="4" fontId="4" fillId="0" borderId="7" xfId="4" applyFont="1" applyFill="1" applyBorder="1" applyAlignment="1">
      <alignment horizontal="left" vertical="center" wrapText="1" readingOrder="1"/>
    </xf>
    <xf numFmtId="4" fontId="4" fillId="0" borderId="0" xfId="4" applyFont="1" applyFill="1" applyBorder="1" applyAlignment="1">
      <alignment horizontal="left" vertical="center" wrapText="1" readingOrder="1"/>
    </xf>
    <xf numFmtId="4" fontId="4" fillId="0" borderId="8" xfId="4" applyFont="1" applyFill="1" applyBorder="1" applyAlignment="1">
      <alignment horizontal="left" vertical="center" wrapText="1" readingOrder="1"/>
    </xf>
    <xf numFmtId="0" fontId="18" fillId="11" borderId="5" xfId="7" applyFont="1" applyFill="1" applyBorder="1" applyAlignment="1">
      <alignment horizontal="left" vertical="center"/>
    </xf>
    <xf numFmtId="0" fontId="18" fillId="11" borderId="13" xfId="7" applyFont="1" applyFill="1" applyBorder="1" applyAlignment="1">
      <alignment horizontal="left" vertical="center"/>
    </xf>
    <xf numFmtId="0" fontId="18" fillId="11" borderId="6" xfId="7" applyFont="1" applyFill="1" applyBorder="1" applyAlignment="1">
      <alignment horizontal="left" vertical="center"/>
    </xf>
    <xf numFmtId="0" fontId="20" fillId="17" borderId="5" xfId="7" applyFont="1" applyFill="1" applyBorder="1" applyAlignment="1">
      <alignment horizontal="center" vertical="center" wrapText="1"/>
    </xf>
    <xf numFmtId="0" fontId="20" fillId="17" borderId="13" xfId="7" applyFont="1" applyFill="1" applyBorder="1" applyAlignment="1">
      <alignment horizontal="center" vertical="center" wrapText="1"/>
    </xf>
    <xf numFmtId="0" fontId="20" fillId="17" borderId="13" xfId="7" applyFont="1" applyFill="1" applyBorder="1" applyAlignment="1">
      <alignment horizontal="center" vertical="center"/>
    </xf>
    <xf numFmtId="0" fontId="20" fillId="17" borderId="6" xfId="7" applyFont="1" applyFill="1" applyBorder="1" applyAlignment="1">
      <alignment horizontal="center" vertical="center"/>
    </xf>
    <xf numFmtId="4" fontId="7" fillId="0" borderId="0" xfId="4" applyFont="1" applyFill="1" applyBorder="1" applyAlignment="1">
      <alignment horizontal="center" vertical="center" wrapText="1" readingOrder="1"/>
    </xf>
    <xf numFmtId="4" fontId="3" fillId="0" borderId="0" xfId="4" applyFont="1" applyFill="1" applyBorder="1" applyAlignment="1">
      <alignment horizontal="center" vertical="center" readingOrder="1"/>
    </xf>
    <xf numFmtId="168" fontId="4" fillId="0" borderId="3" xfId="5" applyFont="1" applyFill="1" applyBorder="1" applyAlignment="1">
      <alignment horizontal="center" vertical="center" readingOrder="1"/>
    </xf>
    <xf numFmtId="10" fontId="4" fillId="0" borderId="2" xfId="4" applyNumberFormat="1" applyFont="1" applyFill="1" applyBorder="1" applyAlignment="1">
      <alignment horizontal="left" vertical="center" readingOrder="1"/>
    </xf>
    <xf numFmtId="10" fontId="4" fillId="0" borderId="7" xfId="4" applyNumberFormat="1" applyFont="1" applyFill="1" applyBorder="1" applyAlignment="1">
      <alignment horizontal="left" vertical="center" readingOrder="1"/>
    </xf>
    <xf numFmtId="10" fontId="4" fillId="0" borderId="9" xfId="4" applyNumberFormat="1" applyFont="1" applyFill="1" applyBorder="1" applyAlignment="1">
      <alignment horizontal="left" vertical="center" readingOrder="1"/>
    </xf>
    <xf numFmtId="10" fontId="4" fillId="0" borderId="3" xfId="4" applyNumberFormat="1" applyFont="1" applyFill="1" applyBorder="1" applyAlignment="1">
      <alignment horizontal="center" vertical="center" readingOrder="1"/>
    </xf>
    <xf numFmtId="10" fontId="4" fillId="0" borderId="0" xfId="4" applyNumberFormat="1" applyFont="1" applyFill="1" applyBorder="1" applyAlignment="1">
      <alignment horizontal="center" vertical="center" readingOrder="1"/>
    </xf>
    <xf numFmtId="10" fontId="4" fillId="0" borderId="10" xfId="4" applyNumberFormat="1" applyFont="1" applyFill="1" applyBorder="1" applyAlignment="1">
      <alignment horizontal="center" vertical="center" readingOrder="1"/>
    </xf>
    <xf numFmtId="4" fontId="4" fillId="0" borderId="9" xfId="4" applyFont="1" applyFill="1" applyBorder="1" applyAlignment="1">
      <alignment horizontal="left" vertical="center" wrapText="1" readingOrder="1"/>
    </xf>
    <xf numFmtId="4" fontId="4" fillId="0" borderId="10" xfId="4" applyFont="1" applyFill="1" applyBorder="1" applyAlignment="1">
      <alignment horizontal="left" vertical="center" wrapText="1" readingOrder="1"/>
    </xf>
    <xf numFmtId="4" fontId="4" fillId="0" borderId="11" xfId="4" applyFont="1" applyFill="1" applyBorder="1" applyAlignment="1">
      <alignment horizontal="left" vertical="center" wrapText="1" readingOrder="1"/>
    </xf>
    <xf numFmtId="4" fontId="4" fillId="0" borderId="7" xfId="4" applyFont="1" applyFill="1" applyBorder="1" applyAlignment="1">
      <alignment horizontal="right" vertical="center" readingOrder="1"/>
    </xf>
    <xf numFmtId="4" fontId="4" fillId="0" borderId="0" xfId="4" applyFont="1" applyFill="1" applyBorder="1" applyAlignment="1">
      <alignment horizontal="right" vertical="center" readingOrder="1"/>
    </xf>
    <xf numFmtId="4" fontId="6" fillId="12" borderId="6" xfId="4" applyFont="1" applyFill="1" applyBorder="1" applyAlignment="1">
      <alignment horizontal="center" vertical="center" wrapText="1" readingOrder="1"/>
    </xf>
  </cellXfs>
  <cellStyles count="9">
    <cellStyle name="Moeda" xfId="2" builtinId="4"/>
    <cellStyle name="Normal" xfId="0" builtinId="0"/>
    <cellStyle name="Normal 10" xfId="4" xr:uid="{00000000-0005-0000-0000-000002000000}"/>
    <cellStyle name="Normal 2" xfId="6" xr:uid="{00000000-0005-0000-0000-000003000000}"/>
    <cellStyle name="Normal_Planilha Orçamentária Repasse OGU - GIDURBH - v06 2" xfId="7" xr:uid="{D03DB88D-31E7-45E8-BB53-92ABA2FCD1A8}"/>
    <cellStyle name="Porcentagem 2 10" xfId="8" xr:uid="{B8B33E8B-466A-455F-914B-6E3D43411A34}"/>
    <cellStyle name="Texto Explicativo" xfId="3" builtinId="53" customBuiltin="1"/>
    <cellStyle name="Vírgula" xfId="1" builtinId="3"/>
    <cellStyle name="Vírgula 2 3" xfId="5" xr:uid="{00000000-0005-0000-0000-000006000000}"/>
  </cellStyles>
  <dxfs count="4">
    <dxf>
      <fill>
        <patternFill patternType="gray125">
          <bgColor indexed="51"/>
        </patternFill>
      </fill>
    </dxf>
    <dxf>
      <font>
        <b/>
        <i/>
        <condense val="0"/>
        <extend val="0"/>
        <color indexed="10"/>
      </font>
    </dxf>
    <dxf>
      <fill>
        <patternFill patternType="gray0625">
          <bgColor indexed="5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D9D9D9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595959"/>
      <rgbColor rgb="FFA9A9A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273841</xdr:colOff>
      <xdr:row>0</xdr:row>
      <xdr:rowOff>71438</xdr:rowOff>
    </xdr:from>
    <xdr:to>
      <xdr:col>3</xdr:col>
      <xdr:colOff>416715</xdr:colOff>
      <xdr:row>3</xdr:row>
      <xdr:rowOff>113215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841" y="71438"/>
          <a:ext cx="2071687" cy="7442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3120651</xdr:colOff>
      <xdr:row>92</xdr:row>
      <xdr:rowOff>225996</xdr:rowOff>
    </xdr:from>
    <xdr:to>
      <xdr:col>3</xdr:col>
      <xdr:colOff>5583662</xdr:colOff>
      <xdr:row>93</xdr:row>
      <xdr:rowOff>3549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id="{C349A47F-4A03-48D2-8097-1E448236F55B}"/>
            </a:ext>
          </a:extLst>
        </xdr:cNvPr>
        <xdr:cNvCxnSpPr/>
      </xdr:nvCxnSpPr>
      <xdr:spPr>
        <a:xfrm flipV="1">
          <a:off x="4793738" y="23284779"/>
          <a:ext cx="2463011" cy="94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710682</xdr:colOff>
      <xdr:row>2</xdr:row>
      <xdr:rowOff>45877</xdr:rowOff>
    </xdr:from>
    <xdr:to>
      <xdr:col>10</xdr:col>
      <xdr:colOff>442429</xdr:colOff>
      <xdr:row>2</xdr:row>
      <xdr:rowOff>622042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18DCD941-FF3B-4522-8FA3-480AE7EE2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3621" y="201387"/>
          <a:ext cx="1737828" cy="576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b%20(D)%20C03/Documents%20and%20Settings/Owner/My%20Documents/z-note/RO/R_Ostras/EstrCalif/18km/SINAL/Rio%20das%20Ostras/RJ106%20AUXILIAR/Pista%20Auxiliar/Memorial%20descritiv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Or&#231;amentos/Santa%20Marta%202004/Urbaniza&#231;&#227;o/santa%20marta%20urbanizacao%20-%20ORCAMENTO%2003.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eus%20documentos/Comercial/CGOM/ASS/REQUIS~1/2009/014-RI~1/RIOPEQ~1/Rio%20Pequeno_Serpen/MC-R14%20Rev0-Rio%20Pequeno%20(05_2004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eus%20documentos/B%20Jacare/Bacia%20Jacarepagu&#225;%20TRABALHO/Andrade/Mem&#243;ria%20de%20c&#225;lculo%20caixa%20de%20deten&#231;&#227;o%20Rio%20Viegas%20Trecho%2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/Sepre_2/DETRAN/Santa%20Luzia/Posto%20Vistoria%20Santa%20Luzia1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Licita&#231;&#245;es\Sondagens%20e%20Elabora&#231;&#227;o%20de%20Projetos\PLanilha%20e%20Especifica&#231;&#245;es%20T&#233;cnicas\Atualiza&#231;&#227;o%20de%20Documentos\Documentos%20atualizados%20em%2008-08-21\planilha-de-precos-unitarios-ppu-anexo-2-a-concorrencia-publica-002-2021.xlsx?A4AF4B44" TargetMode="External"/><Relationship Id="rId1" Type="http://schemas.openxmlformats.org/officeDocument/2006/relationships/externalLinkPath" Target="file:///\\A4AF4B44\planilha-de-precos-unitarios-ppu-anexo-2-a-concorrencia-publica-002-20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la&#231;&#227;o%20dos%20Munic&#237;pios%20-%20CIMVAL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COLETATO"/>
      <sheetName val="MEMORIAL DESCRITIVO"/>
      <sheetName val="CAUCULO"/>
      <sheetName val="Gráfico"/>
      <sheetName val="Plan1"/>
      <sheetName val="DADOS_COLETATO"/>
      <sheetName val="MEMORIAL_DESCRITIVO"/>
      <sheetName val="12_1"/>
      <sheetName val="SCO0504"/>
      <sheetName val="Resumo_do_Consolidado"/>
      <sheetName val="Predio_02_anda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1.1"/>
      <sheetName val="2.1"/>
      <sheetName val="2.2"/>
      <sheetName val="2.3"/>
      <sheetName val="2.4"/>
      <sheetName val="2.5"/>
      <sheetName val="3.1"/>
      <sheetName val="3.2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8.6"/>
      <sheetName val="8.7"/>
      <sheetName val="8.8"/>
      <sheetName val="8.9"/>
      <sheetName val="8.10"/>
      <sheetName val="8.11"/>
      <sheetName val="8.12"/>
      <sheetName val="8.13"/>
      <sheetName val="8.14"/>
      <sheetName val="8.15"/>
      <sheetName val="8.16"/>
      <sheetName val="8.17"/>
      <sheetName val="8.18"/>
      <sheetName val="8.19"/>
      <sheetName val="8.20"/>
      <sheetName val="8.21"/>
      <sheetName val="8.22"/>
      <sheetName val="8.23"/>
      <sheetName val="8.24"/>
      <sheetName val="8.25"/>
      <sheetName val="8.26"/>
      <sheetName val="9.1"/>
      <sheetName val="9.2"/>
      <sheetName val="9.3"/>
      <sheetName val="9.4"/>
      <sheetName val="9.5"/>
      <sheetName val="9.6"/>
      <sheetName val="10.1"/>
      <sheetName val="10.2"/>
      <sheetName val="10.3"/>
      <sheetName val="10.4"/>
      <sheetName val="10.5"/>
      <sheetName val="10.6"/>
      <sheetName val="10.7"/>
      <sheetName val="10.8"/>
      <sheetName val="10.9"/>
      <sheetName val="10.10"/>
      <sheetName val="10.11"/>
      <sheetName val="10.12"/>
      <sheetName val="10.13"/>
      <sheetName val="10.14"/>
      <sheetName val="10.15"/>
      <sheetName val="10.16"/>
      <sheetName val="10.17"/>
      <sheetName val="10.18"/>
      <sheetName val="10.19"/>
      <sheetName val="10.20"/>
      <sheetName val="10.21"/>
      <sheetName val="10.22"/>
      <sheetName val="10.23"/>
      <sheetName val="10.24"/>
      <sheetName val="10.25"/>
      <sheetName val="10.26"/>
      <sheetName val="10.27"/>
      <sheetName val="10.28"/>
      <sheetName val="10.29"/>
      <sheetName val="10.30"/>
      <sheetName val="11.1"/>
      <sheetName val="12.1"/>
      <sheetName val="12.2"/>
      <sheetName val="12.3"/>
      <sheetName val="12.4"/>
      <sheetName val="12.5"/>
      <sheetName val="12.6"/>
      <sheetName val="12.7"/>
      <sheetName val="12.8"/>
      <sheetName val="12.9"/>
      <sheetName val="12.10"/>
      <sheetName val="12.11"/>
      <sheetName val="12.12"/>
      <sheetName val="12.13"/>
      <sheetName val="Cronogra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 06-2004"/>
      <sheetName val="SCO0504"/>
      <sheetName val="blocos ancoragem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Resumo do Consolidado"/>
      <sheetName val="Quadro Resumo"/>
      <sheetName val="A - Proj"/>
      <sheetName val="C-Pav"/>
      <sheetName val="D-CX de detenção"/>
      <sheetName val="D-Micro e Macro  Drenagem"/>
      <sheetName val="SCO0504"/>
      <sheetName val="quadra poliesport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dio_02_andares"/>
      <sheetName val="Cronograma"/>
      <sheetName val="Subtotais das categorias"/>
      <sheetName val="Grafico"/>
      <sheetName val="SCO0504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>
        <row r="48">
          <cell r="G48">
            <v>2579.14</v>
          </cell>
          <cell r="H48">
            <v>3263.64</v>
          </cell>
        </row>
        <row r="49">
          <cell r="G49">
            <v>10294.6</v>
          </cell>
          <cell r="H49">
            <v>13026.79</v>
          </cell>
        </row>
        <row r="50">
          <cell r="G50">
            <v>13726.14</v>
          </cell>
          <cell r="H50">
            <v>17369.060000000001</v>
          </cell>
        </row>
        <row r="51">
          <cell r="G51">
            <v>42365.16</v>
          </cell>
          <cell r="H51">
            <v>53608.87</v>
          </cell>
        </row>
        <row r="52">
          <cell r="G52">
            <v>29420.25</v>
          </cell>
          <cell r="H52">
            <v>37228.379999999997</v>
          </cell>
        </row>
        <row r="53">
          <cell r="G53">
            <v>1535.04</v>
          </cell>
          <cell r="H53">
            <v>1942.44</v>
          </cell>
        </row>
        <row r="54">
          <cell r="G54">
            <v>3701.91</v>
          </cell>
          <cell r="H54">
            <v>4684.3999999999996</v>
          </cell>
        </row>
        <row r="55">
          <cell r="G55">
            <v>2226.91</v>
          </cell>
          <cell r="H55">
            <v>2817.93</v>
          </cell>
        </row>
        <row r="56">
          <cell r="G56">
            <v>2599.7800000000002</v>
          </cell>
          <cell r="H56">
            <v>3289.7616120000002</v>
          </cell>
        </row>
        <row r="57">
          <cell r="G57">
            <v>2599.7800000000002</v>
          </cell>
          <cell r="H57">
            <v>3289.76</v>
          </cell>
        </row>
        <row r="58">
          <cell r="G58">
            <v>2954.73</v>
          </cell>
          <cell r="H58">
            <v>3738.92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19">
          <cell r="C19" t="str">
            <v>Dionísio</v>
          </cell>
          <cell r="D19">
            <v>8739</v>
          </cell>
        </row>
        <row r="20">
          <cell r="C20" t="str">
            <v>Dom Silvério</v>
          </cell>
          <cell r="D20">
            <v>5196</v>
          </cell>
        </row>
        <row r="28">
          <cell r="C28" t="str">
            <v>Paula Cândido</v>
          </cell>
          <cell r="D28">
            <v>9271</v>
          </cell>
        </row>
        <row r="44">
          <cell r="C44" t="str">
            <v>Sericita</v>
          </cell>
          <cell r="D44">
            <v>7326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96"/>
  <sheetViews>
    <sheetView showGridLines="0" tabSelected="1" view="pageBreakPreview" zoomScaleNormal="110" zoomScaleSheetLayoutView="100" workbookViewId="0">
      <selection activeCell="K5" sqref="K5"/>
    </sheetView>
  </sheetViews>
  <sheetFormatPr defaultColWidth="8.85546875" defaultRowHeight="13.5" x14ac:dyDescent="0.3"/>
  <cols>
    <col min="1" max="1" width="6.5703125" style="77" customWidth="1"/>
    <col min="2" max="2" width="9.85546875" style="77" customWidth="1"/>
    <col min="3" max="3" width="8.7109375" style="77" customWidth="1"/>
    <col min="4" max="4" width="89.28515625" style="28" customWidth="1"/>
    <col min="5" max="5" width="6.85546875" style="77" customWidth="1"/>
    <col min="6" max="6" width="10.28515625" style="78" customWidth="1"/>
    <col min="7" max="7" width="11.140625" style="79" customWidth="1"/>
    <col min="8" max="8" width="14.85546875" style="79" customWidth="1"/>
    <col min="9" max="9" width="19.140625" style="26" customWidth="1"/>
    <col min="10" max="10" width="2.28515625" style="26" customWidth="1"/>
    <col min="11" max="11" width="17.28515625" style="26" bestFit="1" customWidth="1"/>
    <col min="12" max="13" width="9.140625" style="27" customWidth="1"/>
    <col min="14" max="14" width="17.28515625" style="26" customWidth="1"/>
    <col min="15" max="15" width="9.140625" style="28" customWidth="1"/>
    <col min="16" max="16" width="17" style="28" customWidth="1"/>
    <col min="17" max="1024" width="9.140625" style="28" customWidth="1"/>
    <col min="1025" max="16384" width="8.85546875" style="27"/>
  </cols>
  <sheetData>
    <row r="1" spans="1:15" ht="16.5" customHeight="1" x14ac:dyDescent="0.3">
      <c r="A1" s="197" t="s">
        <v>73</v>
      </c>
      <c r="B1" s="197"/>
      <c r="C1" s="197"/>
      <c r="D1" s="197"/>
      <c r="E1" s="197"/>
      <c r="F1" s="201" t="s">
        <v>71</v>
      </c>
      <c r="G1" s="201"/>
      <c r="H1" s="175" t="s">
        <v>72</v>
      </c>
      <c r="I1" s="120" t="s">
        <v>0</v>
      </c>
    </row>
    <row r="2" spans="1:15" ht="16.5" customHeight="1" x14ac:dyDescent="0.3">
      <c r="A2" s="198"/>
      <c r="B2" s="198"/>
      <c r="C2" s="198"/>
      <c r="D2" s="198"/>
      <c r="E2" s="198"/>
      <c r="F2" s="195" t="s">
        <v>348</v>
      </c>
      <c r="G2" s="195"/>
      <c r="H2" s="29">
        <v>44409</v>
      </c>
      <c r="I2" s="196">
        <v>0.255</v>
      </c>
    </row>
    <row r="3" spans="1:15" ht="16.5" customHeight="1" x14ac:dyDescent="0.3">
      <c r="A3" s="198"/>
      <c r="B3" s="198"/>
      <c r="C3" s="198"/>
      <c r="D3" s="198"/>
      <c r="E3" s="198"/>
      <c r="F3" s="195" t="s">
        <v>11</v>
      </c>
      <c r="G3" s="195"/>
      <c r="H3" s="29">
        <v>44348</v>
      </c>
      <c r="I3" s="196"/>
    </row>
    <row r="4" spans="1:15" ht="16.5" customHeight="1" x14ac:dyDescent="0.3">
      <c r="A4" s="199"/>
      <c r="B4" s="199"/>
      <c r="C4" s="199"/>
      <c r="D4" s="199"/>
      <c r="E4" s="199"/>
      <c r="F4" s="200" t="s">
        <v>70</v>
      </c>
      <c r="G4" s="200"/>
      <c r="H4" s="191">
        <v>44562</v>
      </c>
      <c r="I4" s="196"/>
    </row>
    <row r="5" spans="1:15" ht="19.149999999999999" customHeight="1" x14ac:dyDescent="0.3">
      <c r="A5" s="192" t="s">
        <v>308</v>
      </c>
      <c r="B5" s="193"/>
      <c r="C5" s="193"/>
      <c r="D5" s="193"/>
      <c r="E5" s="193"/>
      <c r="F5" s="193"/>
      <c r="G5" s="193"/>
      <c r="H5" s="193"/>
      <c r="I5" s="194"/>
    </row>
    <row r="6" spans="1:15" ht="19.149999999999999" customHeight="1" x14ac:dyDescent="0.3">
      <c r="A6" s="192" t="s">
        <v>309</v>
      </c>
      <c r="B6" s="193"/>
      <c r="C6" s="193"/>
      <c r="D6" s="193"/>
      <c r="E6" s="193"/>
      <c r="F6" s="193"/>
      <c r="G6" s="193"/>
      <c r="H6" s="193"/>
      <c r="I6" s="194"/>
    </row>
    <row r="7" spans="1:15" ht="8.65" customHeight="1" x14ac:dyDescent="0.3">
      <c r="A7" s="225"/>
      <c r="B7" s="226"/>
      <c r="C7" s="226"/>
      <c r="D7" s="226"/>
      <c r="E7" s="226"/>
      <c r="F7" s="226"/>
      <c r="G7" s="226"/>
      <c r="H7" s="226"/>
      <c r="I7" s="227"/>
    </row>
    <row r="8" spans="1:15" s="34" customFormat="1" ht="28.5" customHeight="1" x14ac:dyDescent="0.3">
      <c r="A8" s="101" t="s">
        <v>1</v>
      </c>
      <c r="B8" s="30" t="s">
        <v>2</v>
      </c>
      <c r="C8" s="108" t="s">
        <v>3</v>
      </c>
      <c r="D8" s="30" t="s">
        <v>223</v>
      </c>
      <c r="E8" s="30" t="s">
        <v>4</v>
      </c>
      <c r="F8" s="31" t="s">
        <v>5</v>
      </c>
      <c r="G8" s="32" t="s">
        <v>6</v>
      </c>
      <c r="H8" s="32" t="s">
        <v>7</v>
      </c>
      <c r="I8" s="32" t="s">
        <v>8</v>
      </c>
      <c r="J8" s="33"/>
      <c r="K8" s="33"/>
      <c r="L8" s="27"/>
      <c r="M8" s="27"/>
      <c r="N8" s="33"/>
    </row>
    <row r="9" spans="1:15" s="34" customFormat="1" ht="18.75" customHeight="1" x14ac:dyDescent="0.3">
      <c r="A9" s="206" t="s">
        <v>340</v>
      </c>
      <c r="B9" s="207"/>
      <c r="C9" s="207"/>
      <c r="D9" s="207"/>
      <c r="E9" s="207"/>
      <c r="F9" s="207"/>
      <c r="G9" s="207"/>
      <c r="H9" s="208"/>
      <c r="I9" s="176">
        <f>I10</f>
        <v>0</v>
      </c>
      <c r="J9" s="33"/>
      <c r="K9" s="33"/>
      <c r="L9" s="27"/>
      <c r="M9" s="27"/>
      <c r="N9" s="33"/>
    </row>
    <row r="10" spans="1:15" ht="19.350000000000001" customHeight="1" x14ac:dyDescent="0.3">
      <c r="A10" s="100" t="s">
        <v>281</v>
      </c>
      <c r="B10" s="202"/>
      <c r="C10" s="203"/>
      <c r="D10" s="232" t="s">
        <v>10</v>
      </c>
      <c r="E10" s="233"/>
      <c r="F10" s="233"/>
      <c r="G10" s="233"/>
      <c r="H10" s="234"/>
      <c r="I10" s="35">
        <f>SUM(I11:I14)</f>
        <v>0</v>
      </c>
    </row>
    <row r="11" spans="1:15" ht="19.350000000000001" customHeight="1" x14ac:dyDescent="0.3">
      <c r="A11" s="36" t="s">
        <v>9</v>
      </c>
      <c r="B11" s="37" t="s">
        <v>255</v>
      </c>
      <c r="C11" s="37" t="s">
        <v>70</v>
      </c>
      <c r="D11" s="38" t="s">
        <v>256</v>
      </c>
      <c r="E11" s="37" t="s">
        <v>224</v>
      </c>
      <c r="F11" s="39">
        <v>0</v>
      </c>
      <c r="G11" s="88">
        <v>1.51</v>
      </c>
      <c r="H11" s="40">
        <f>(G11*$I$2)+G11</f>
        <v>1.9</v>
      </c>
      <c r="I11" s="41">
        <f>F11*H11</f>
        <v>0</v>
      </c>
    </row>
    <row r="12" spans="1:15" ht="19.350000000000001" customHeight="1" x14ac:dyDescent="0.3">
      <c r="A12" s="36" t="s">
        <v>214</v>
      </c>
      <c r="B12" s="37" t="s">
        <v>258</v>
      </c>
      <c r="C12" s="37" t="s">
        <v>70</v>
      </c>
      <c r="D12" s="38" t="s">
        <v>257</v>
      </c>
      <c r="E12" s="37" t="s">
        <v>12</v>
      </c>
      <c r="F12" s="39">
        <v>0</v>
      </c>
      <c r="G12" s="88">
        <v>809</v>
      </c>
      <c r="H12" s="40">
        <f>(G12*$I$2)+G12</f>
        <v>1015.3</v>
      </c>
      <c r="I12" s="41">
        <f>F12*H12</f>
        <v>0</v>
      </c>
    </row>
    <row r="13" spans="1:15" ht="19.350000000000001" customHeight="1" x14ac:dyDescent="0.3">
      <c r="A13" s="36" t="s">
        <v>215</v>
      </c>
      <c r="B13" s="37" t="s">
        <v>260</v>
      </c>
      <c r="C13" s="42" t="s">
        <v>70</v>
      </c>
      <c r="D13" s="43" t="s">
        <v>259</v>
      </c>
      <c r="E13" s="42" t="s">
        <v>13</v>
      </c>
      <c r="F13" s="44">
        <v>0</v>
      </c>
      <c r="G13" s="89">
        <v>75.62</v>
      </c>
      <c r="H13" s="45">
        <f>(G13*$I$2)+G13</f>
        <v>94.9</v>
      </c>
      <c r="I13" s="46">
        <f>F13*H13</f>
        <v>0</v>
      </c>
    </row>
    <row r="14" spans="1:15" ht="19.350000000000001" customHeight="1" x14ac:dyDescent="0.3">
      <c r="A14" s="36" t="s">
        <v>216</v>
      </c>
      <c r="B14" s="42" t="s">
        <v>75</v>
      </c>
      <c r="C14" s="42" t="s">
        <v>70</v>
      </c>
      <c r="D14" s="43" t="s">
        <v>74</v>
      </c>
      <c r="E14" s="42" t="s">
        <v>13</v>
      </c>
      <c r="F14" s="44">
        <v>0</v>
      </c>
      <c r="G14" s="89">
        <v>21.15</v>
      </c>
      <c r="H14" s="45">
        <f>(G14*$I$2)+G14</f>
        <v>26.54</v>
      </c>
      <c r="I14" s="46">
        <f>F14*H14</f>
        <v>0</v>
      </c>
    </row>
    <row r="15" spans="1:15" s="26" customFormat="1" ht="8.65" customHeight="1" x14ac:dyDescent="0.3">
      <c r="A15" s="225"/>
      <c r="B15" s="226"/>
      <c r="C15" s="226"/>
      <c r="D15" s="226"/>
      <c r="E15" s="226"/>
      <c r="F15" s="226"/>
      <c r="G15" s="226"/>
      <c r="H15" s="226"/>
      <c r="I15" s="227"/>
      <c r="K15" s="47"/>
      <c r="L15" s="27"/>
      <c r="M15" s="27"/>
      <c r="O15" s="28"/>
    </row>
    <row r="16" spans="1:15" s="26" customFormat="1" ht="18.75" customHeight="1" x14ac:dyDescent="0.3">
      <c r="A16" s="206" t="s">
        <v>341</v>
      </c>
      <c r="B16" s="207"/>
      <c r="C16" s="207"/>
      <c r="D16" s="207"/>
      <c r="E16" s="207"/>
      <c r="F16" s="207"/>
      <c r="G16" s="207"/>
      <c r="H16" s="208"/>
      <c r="I16" s="176">
        <f>I17+I62+I70</f>
        <v>0</v>
      </c>
      <c r="K16" s="47"/>
      <c r="L16" s="27"/>
      <c r="M16" s="27"/>
      <c r="O16" s="28"/>
    </row>
    <row r="17" spans="1:15" s="26" customFormat="1" ht="19.350000000000001" customHeight="1" x14ac:dyDescent="0.3">
      <c r="A17" s="104" t="s">
        <v>282</v>
      </c>
      <c r="B17" s="204"/>
      <c r="C17" s="205"/>
      <c r="D17" s="209" t="s">
        <v>225</v>
      </c>
      <c r="E17" s="210"/>
      <c r="F17" s="210"/>
      <c r="G17" s="210"/>
      <c r="H17" s="211"/>
      <c r="I17" s="48">
        <f>SUM(I18:I60)</f>
        <v>0</v>
      </c>
      <c r="J17" s="49"/>
      <c r="K17" s="49"/>
      <c r="L17" s="27"/>
      <c r="M17" s="27"/>
      <c r="O17" s="28"/>
    </row>
    <row r="18" spans="1:15" s="26" customFormat="1" ht="19.350000000000001" customHeight="1" x14ac:dyDescent="0.3">
      <c r="A18" s="50" t="s">
        <v>14</v>
      </c>
      <c r="B18" s="50" t="s">
        <v>182</v>
      </c>
      <c r="C18" s="50" t="s">
        <v>70</v>
      </c>
      <c r="D18" s="91" t="s">
        <v>183</v>
      </c>
      <c r="E18" s="50" t="s">
        <v>78</v>
      </c>
      <c r="F18" s="51">
        <v>0</v>
      </c>
      <c r="G18" s="105">
        <v>692.25</v>
      </c>
      <c r="H18" s="40">
        <f t="shared" ref="H18" si="0">(G18*$I$2)+G18</f>
        <v>868.77</v>
      </c>
      <c r="I18" s="40">
        <f t="shared" ref="I18" si="1">F18*H18</f>
        <v>0</v>
      </c>
      <c r="J18" s="49"/>
      <c r="K18" s="49"/>
      <c r="L18" s="27"/>
      <c r="M18" s="27"/>
      <c r="O18" s="28"/>
    </row>
    <row r="19" spans="1:15" s="26" customFormat="1" ht="19.350000000000001" customHeight="1" x14ac:dyDescent="0.3">
      <c r="A19" s="52" t="s">
        <v>15</v>
      </c>
      <c r="B19" s="52" t="s">
        <v>221</v>
      </c>
      <c r="C19" s="52" t="s">
        <v>70</v>
      </c>
      <c r="D19" s="92" t="s">
        <v>184</v>
      </c>
      <c r="E19" s="52" t="s">
        <v>78</v>
      </c>
      <c r="F19" s="53">
        <v>0</v>
      </c>
      <c r="G19" s="106">
        <v>355.26</v>
      </c>
      <c r="H19" s="40">
        <f t="shared" ref="H19:H23" si="2">(G19*$I$2)+G19</f>
        <v>445.85</v>
      </c>
      <c r="I19" s="40">
        <f t="shared" ref="I19:I23" si="3">F19*H19</f>
        <v>0</v>
      </c>
      <c r="J19" s="49"/>
      <c r="K19" s="49"/>
      <c r="L19" s="27"/>
      <c r="M19" s="27"/>
      <c r="O19" s="28"/>
    </row>
    <row r="20" spans="1:15" s="26" customFormat="1" ht="19.350000000000001" customHeight="1" x14ac:dyDescent="0.3">
      <c r="A20" s="54" t="s">
        <v>16</v>
      </c>
      <c r="B20" s="54" t="s">
        <v>191</v>
      </c>
      <c r="C20" s="54" t="s">
        <v>70</v>
      </c>
      <c r="D20" s="92" t="s">
        <v>192</v>
      </c>
      <c r="E20" s="52" t="s">
        <v>78</v>
      </c>
      <c r="F20" s="55">
        <v>0</v>
      </c>
      <c r="G20" s="107">
        <v>795.73</v>
      </c>
      <c r="H20" s="40">
        <f t="shared" si="2"/>
        <v>998.64</v>
      </c>
      <c r="I20" s="40">
        <f t="shared" si="3"/>
        <v>0</v>
      </c>
      <c r="J20" s="49"/>
      <c r="K20" s="49"/>
      <c r="L20" s="27"/>
      <c r="M20" s="27"/>
      <c r="O20" s="28"/>
    </row>
    <row r="21" spans="1:15" s="26" customFormat="1" ht="19.350000000000001" customHeight="1" x14ac:dyDescent="0.3">
      <c r="A21" s="52" t="s">
        <v>17</v>
      </c>
      <c r="B21" s="54" t="s">
        <v>186</v>
      </c>
      <c r="C21" s="54" t="s">
        <v>70</v>
      </c>
      <c r="D21" s="93" t="s">
        <v>185</v>
      </c>
      <c r="E21" s="42" t="s">
        <v>12</v>
      </c>
      <c r="F21" s="55">
        <v>0</v>
      </c>
      <c r="G21" s="107">
        <v>2513.7600000000002</v>
      </c>
      <c r="H21" s="40">
        <f t="shared" si="2"/>
        <v>3154.77</v>
      </c>
      <c r="I21" s="40">
        <f t="shared" si="3"/>
        <v>0</v>
      </c>
      <c r="J21" s="49"/>
      <c r="K21" s="49"/>
      <c r="L21" s="27"/>
      <c r="M21" s="27"/>
      <c r="O21" s="28"/>
    </row>
    <row r="22" spans="1:15" s="26" customFormat="1" ht="19.350000000000001" customHeight="1" x14ac:dyDescent="0.3">
      <c r="A22" s="54" t="s">
        <v>18</v>
      </c>
      <c r="B22" s="54" t="s">
        <v>187</v>
      </c>
      <c r="C22" s="54" t="s">
        <v>70</v>
      </c>
      <c r="D22" s="93" t="s">
        <v>189</v>
      </c>
      <c r="E22" s="42" t="s">
        <v>12</v>
      </c>
      <c r="F22" s="55">
        <v>0</v>
      </c>
      <c r="G22" s="107">
        <v>4983.26</v>
      </c>
      <c r="H22" s="40">
        <f t="shared" si="2"/>
        <v>6253.99</v>
      </c>
      <c r="I22" s="40">
        <f t="shared" si="3"/>
        <v>0</v>
      </c>
      <c r="J22" s="49"/>
      <c r="K22" s="49"/>
      <c r="L22" s="27"/>
      <c r="M22" s="27"/>
      <c r="O22" s="28"/>
    </row>
    <row r="23" spans="1:15" s="26" customFormat="1" ht="19.350000000000001" customHeight="1" x14ac:dyDescent="0.3">
      <c r="A23" s="52" t="s">
        <v>19</v>
      </c>
      <c r="B23" s="54" t="s">
        <v>188</v>
      </c>
      <c r="C23" s="54" t="s">
        <v>70</v>
      </c>
      <c r="D23" s="93" t="s">
        <v>190</v>
      </c>
      <c r="E23" s="42" t="s">
        <v>12</v>
      </c>
      <c r="F23" s="55">
        <v>0</v>
      </c>
      <c r="G23" s="107">
        <v>7474.72</v>
      </c>
      <c r="H23" s="40">
        <f t="shared" si="2"/>
        <v>9380.77</v>
      </c>
      <c r="I23" s="40">
        <f t="shared" si="3"/>
        <v>0</v>
      </c>
      <c r="J23" s="49"/>
      <c r="K23" s="49"/>
      <c r="L23" s="27"/>
      <c r="M23" s="27"/>
      <c r="O23" s="28"/>
    </row>
    <row r="24" spans="1:15" s="26" customFormat="1" ht="19.350000000000001" customHeight="1" x14ac:dyDescent="0.3">
      <c r="A24" s="54" t="s">
        <v>20</v>
      </c>
      <c r="B24" s="54" t="s">
        <v>248</v>
      </c>
      <c r="C24" s="54" t="s">
        <v>70</v>
      </c>
      <c r="D24" s="93" t="s">
        <v>247</v>
      </c>
      <c r="E24" s="42" t="s">
        <v>12</v>
      </c>
      <c r="F24" s="55">
        <v>0</v>
      </c>
      <c r="G24" s="107">
        <v>8917.66</v>
      </c>
      <c r="H24" s="40">
        <f t="shared" ref="H24" si="4">(G24*$I$2)+G24</f>
        <v>11191.66</v>
      </c>
      <c r="I24" s="40">
        <f t="shared" ref="I24" si="5">F24*H24</f>
        <v>0</v>
      </c>
      <c r="J24" s="49"/>
      <c r="K24" s="49"/>
      <c r="L24" s="27"/>
      <c r="M24" s="27"/>
      <c r="O24" s="28"/>
    </row>
    <row r="25" spans="1:15" s="59" customFormat="1" ht="19.350000000000001" customHeight="1" x14ac:dyDescent="0.3">
      <c r="A25" s="52" t="s">
        <v>21</v>
      </c>
      <c r="B25" s="56" t="s">
        <v>77</v>
      </c>
      <c r="C25" s="56" t="s">
        <v>70</v>
      </c>
      <c r="D25" s="94" t="s">
        <v>76</v>
      </c>
      <c r="E25" s="56" t="s">
        <v>78</v>
      </c>
      <c r="F25" s="57">
        <v>0</v>
      </c>
      <c r="G25" s="88">
        <v>1141.72</v>
      </c>
      <c r="H25" s="40">
        <f t="shared" ref="H25:H36" si="6">(G25*$I$2)+G25</f>
        <v>1432.86</v>
      </c>
      <c r="I25" s="40">
        <f t="shared" ref="I25:I36" si="7">F25*H25</f>
        <v>0</v>
      </c>
      <c r="J25" s="58"/>
      <c r="K25" s="58"/>
      <c r="L25" s="27"/>
      <c r="M25" s="27"/>
      <c r="O25" s="60"/>
    </row>
    <row r="26" spans="1:15" s="59" customFormat="1" ht="19.350000000000001" customHeight="1" x14ac:dyDescent="0.3">
      <c r="A26" s="54" t="s">
        <v>22</v>
      </c>
      <c r="B26" s="56" t="s">
        <v>250</v>
      </c>
      <c r="C26" s="56" t="s">
        <v>70</v>
      </c>
      <c r="D26" s="94" t="s">
        <v>249</v>
      </c>
      <c r="E26" s="56" t="s">
        <v>78</v>
      </c>
      <c r="F26" s="57">
        <v>0</v>
      </c>
      <c r="G26" s="88">
        <v>430.09</v>
      </c>
      <c r="H26" s="40">
        <f t="shared" ref="H26" si="8">(G26*$I$2)+G26</f>
        <v>539.76</v>
      </c>
      <c r="I26" s="40">
        <f t="shared" ref="I26" si="9">F26*H26</f>
        <v>0</v>
      </c>
      <c r="J26" s="58"/>
      <c r="K26" s="58"/>
      <c r="L26" s="27"/>
      <c r="M26" s="27"/>
      <c r="O26" s="60"/>
    </row>
    <row r="27" spans="1:15" s="65" customFormat="1" ht="19.350000000000001" customHeight="1" x14ac:dyDescent="0.3">
      <c r="A27" s="52" t="s">
        <v>23</v>
      </c>
      <c r="B27" s="61" t="s">
        <v>80</v>
      </c>
      <c r="C27" s="61" t="s">
        <v>70</v>
      </c>
      <c r="D27" s="95" t="s">
        <v>79</v>
      </c>
      <c r="E27" s="61" t="s">
        <v>78</v>
      </c>
      <c r="F27" s="62">
        <v>0</v>
      </c>
      <c r="G27" s="89">
        <v>921.26</v>
      </c>
      <c r="H27" s="63">
        <f t="shared" si="6"/>
        <v>1156.18</v>
      </c>
      <c r="I27" s="63">
        <f>F27*H27</f>
        <v>0</v>
      </c>
      <c r="J27" s="64"/>
      <c r="K27" s="64"/>
      <c r="L27" s="27"/>
      <c r="M27" s="27"/>
      <c r="O27" s="66"/>
    </row>
    <row r="28" spans="1:15" s="59" customFormat="1" ht="19.350000000000001" customHeight="1" x14ac:dyDescent="0.3">
      <c r="A28" s="54" t="s">
        <v>24</v>
      </c>
      <c r="B28" s="67" t="s">
        <v>81</v>
      </c>
      <c r="C28" s="61" t="s">
        <v>70</v>
      </c>
      <c r="D28" s="95" t="s">
        <v>82</v>
      </c>
      <c r="E28" s="61" t="s">
        <v>78</v>
      </c>
      <c r="F28" s="68">
        <v>0</v>
      </c>
      <c r="G28" s="89">
        <v>1393.74</v>
      </c>
      <c r="H28" s="45">
        <f t="shared" si="6"/>
        <v>1749.14</v>
      </c>
      <c r="I28" s="45">
        <f t="shared" si="7"/>
        <v>0</v>
      </c>
      <c r="J28" s="58"/>
      <c r="K28" s="58"/>
      <c r="L28" s="27"/>
      <c r="M28" s="27"/>
      <c r="O28" s="60"/>
    </row>
    <row r="29" spans="1:15" s="59" customFormat="1" ht="19.350000000000001" customHeight="1" x14ac:dyDescent="0.3">
      <c r="A29" s="52" t="s">
        <v>25</v>
      </c>
      <c r="B29" s="67" t="s">
        <v>84</v>
      </c>
      <c r="C29" s="61" t="s">
        <v>70</v>
      </c>
      <c r="D29" s="95" t="s">
        <v>83</v>
      </c>
      <c r="E29" s="61" t="s">
        <v>78</v>
      </c>
      <c r="F29" s="89">
        <v>0</v>
      </c>
      <c r="G29" s="89">
        <v>1064.22</v>
      </c>
      <c r="H29" s="45">
        <f t="shared" si="6"/>
        <v>1335.6</v>
      </c>
      <c r="I29" s="45">
        <f t="shared" si="7"/>
        <v>0</v>
      </c>
      <c r="J29" s="58"/>
      <c r="K29" s="58"/>
      <c r="L29" s="27"/>
      <c r="M29" s="27"/>
      <c r="O29" s="60"/>
    </row>
    <row r="30" spans="1:15" s="59" customFormat="1" ht="19.350000000000001" customHeight="1" x14ac:dyDescent="0.3">
      <c r="A30" s="54" t="s">
        <v>26</v>
      </c>
      <c r="B30" s="67" t="s">
        <v>86</v>
      </c>
      <c r="C30" s="61" t="s">
        <v>70</v>
      </c>
      <c r="D30" s="95" t="s">
        <v>85</v>
      </c>
      <c r="E30" s="61" t="s">
        <v>78</v>
      </c>
      <c r="F30" s="68">
        <v>0</v>
      </c>
      <c r="G30" s="89">
        <v>999.19</v>
      </c>
      <c r="H30" s="45">
        <f t="shared" si="6"/>
        <v>1253.98</v>
      </c>
      <c r="I30" s="45">
        <f t="shared" ref="I30:I35" si="10">F30*H30</f>
        <v>0</v>
      </c>
      <c r="J30" s="58"/>
      <c r="K30" s="58"/>
      <c r="L30" s="27"/>
      <c r="M30" s="27"/>
      <c r="O30" s="60"/>
    </row>
    <row r="31" spans="1:15" s="59" customFormat="1" ht="19.350000000000001" customHeight="1" x14ac:dyDescent="0.3">
      <c r="A31" s="52" t="s">
        <v>27</v>
      </c>
      <c r="B31" s="67" t="s">
        <v>88</v>
      </c>
      <c r="C31" s="61" t="s">
        <v>70</v>
      </c>
      <c r="D31" s="95" t="s">
        <v>87</v>
      </c>
      <c r="E31" s="61" t="s">
        <v>78</v>
      </c>
      <c r="F31" s="62">
        <v>0</v>
      </c>
      <c r="G31" s="89">
        <v>1076.9100000000001</v>
      </c>
      <c r="H31" s="45">
        <f t="shared" si="6"/>
        <v>1351.52</v>
      </c>
      <c r="I31" s="45">
        <f t="shared" si="10"/>
        <v>0</v>
      </c>
      <c r="J31" s="58"/>
      <c r="K31" s="58"/>
      <c r="L31" s="27"/>
      <c r="M31" s="27"/>
      <c r="O31" s="60"/>
    </row>
    <row r="32" spans="1:15" s="59" customFormat="1" ht="19.350000000000001" customHeight="1" x14ac:dyDescent="0.3">
      <c r="A32" s="54" t="s">
        <v>28</v>
      </c>
      <c r="B32" s="67" t="s">
        <v>252</v>
      </c>
      <c r="C32" s="61" t="s">
        <v>70</v>
      </c>
      <c r="D32" s="96" t="s">
        <v>251</v>
      </c>
      <c r="E32" s="61" t="s">
        <v>78</v>
      </c>
      <c r="F32" s="68">
        <v>0</v>
      </c>
      <c r="G32" s="89">
        <v>1190.69</v>
      </c>
      <c r="H32" s="45">
        <f t="shared" ref="H32" si="11">(G32*$I$2)+G32</f>
        <v>1494.32</v>
      </c>
      <c r="I32" s="45">
        <f t="shared" si="10"/>
        <v>0</v>
      </c>
      <c r="J32" s="58"/>
      <c r="K32" s="58"/>
      <c r="L32" s="27"/>
      <c r="M32" s="27"/>
      <c r="O32" s="60"/>
    </row>
    <row r="33" spans="1:15" s="59" customFormat="1" ht="27" customHeight="1" x14ac:dyDescent="0.3">
      <c r="A33" s="52" t="s">
        <v>29</v>
      </c>
      <c r="B33" s="67" t="s">
        <v>90</v>
      </c>
      <c r="C33" s="61" t="s">
        <v>70</v>
      </c>
      <c r="D33" s="96" t="s">
        <v>89</v>
      </c>
      <c r="E33" s="61" t="s">
        <v>78</v>
      </c>
      <c r="F33" s="68">
        <v>0</v>
      </c>
      <c r="G33" s="89">
        <v>598.6</v>
      </c>
      <c r="H33" s="45">
        <f t="shared" si="6"/>
        <v>751.24</v>
      </c>
      <c r="I33" s="45">
        <f t="shared" si="10"/>
        <v>0</v>
      </c>
      <c r="J33" s="58"/>
      <c r="K33" s="58"/>
      <c r="L33" s="27"/>
      <c r="M33" s="27"/>
      <c r="O33" s="60"/>
    </row>
    <row r="34" spans="1:15" s="59" customFormat="1" ht="19.350000000000001" customHeight="1" x14ac:dyDescent="0.3">
      <c r="A34" s="54" t="s">
        <v>30</v>
      </c>
      <c r="B34" s="67" t="s">
        <v>253</v>
      </c>
      <c r="C34" s="61" t="s">
        <v>70</v>
      </c>
      <c r="D34" s="97" t="s">
        <v>254</v>
      </c>
      <c r="E34" s="61" t="s">
        <v>78</v>
      </c>
      <c r="F34" s="68">
        <v>0</v>
      </c>
      <c r="G34" s="89">
        <v>802.09</v>
      </c>
      <c r="H34" s="45">
        <f t="shared" ref="H34" si="12">(G34*$I$2)+G34</f>
        <v>1006.62</v>
      </c>
      <c r="I34" s="45">
        <f t="shared" si="10"/>
        <v>0</v>
      </c>
      <c r="J34" s="58"/>
      <c r="K34" s="58"/>
      <c r="L34" s="27"/>
      <c r="M34" s="27"/>
      <c r="O34" s="60"/>
    </row>
    <row r="35" spans="1:15" s="59" customFormat="1" ht="19.350000000000001" customHeight="1" x14ac:dyDescent="0.3">
      <c r="A35" s="52" t="s">
        <v>41</v>
      </c>
      <c r="B35" s="67" t="s">
        <v>178</v>
      </c>
      <c r="C35" s="61" t="s">
        <v>70</v>
      </c>
      <c r="D35" s="97" t="s">
        <v>179</v>
      </c>
      <c r="E35" s="61" t="s">
        <v>78</v>
      </c>
      <c r="F35" s="68">
        <v>0</v>
      </c>
      <c r="G35" s="89">
        <v>890.19</v>
      </c>
      <c r="H35" s="45">
        <f t="shared" si="6"/>
        <v>1117.19</v>
      </c>
      <c r="I35" s="45">
        <f t="shared" si="10"/>
        <v>0</v>
      </c>
      <c r="J35" s="58"/>
      <c r="K35" s="58"/>
      <c r="L35" s="27"/>
      <c r="M35" s="27"/>
      <c r="O35" s="60"/>
    </row>
    <row r="36" spans="1:15" s="59" customFormat="1" ht="19.350000000000001" customHeight="1" x14ac:dyDescent="0.3">
      <c r="A36" s="54" t="s">
        <v>68</v>
      </c>
      <c r="B36" s="67" t="s">
        <v>91</v>
      </c>
      <c r="C36" s="61" t="s">
        <v>70</v>
      </c>
      <c r="D36" s="98" t="s">
        <v>94</v>
      </c>
      <c r="E36" s="61" t="s">
        <v>78</v>
      </c>
      <c r="F36" s="68">
        <v>0</v>
      </c>
      <c r="G36" s="89">
        <v>776.3</v>
      </c>
      <c r="H36" s="45">
        <f t="shared" si="6"/>
        <v>974.26</v>
      </c>
      <c r="I36" s="45">
        <f t="shared" si="7"/>
        <v>0</v>
      </c>
      <c r="J36" s="58"/>
      <c r="K36" s="58"/>
      <c r="L36" s="27"/>
      <c r="M36" s="27"/>
      <c r="O36" s="60"/>
    </row>
    <row r="37" spans="1:15" s="59" customFormat="1" ht="19.350000000000001" customHeight="1" x14ac:dyDescent="0.3">
      <c r="A37" s="52" t="s">
        <v>113</v>
      </c>
      <c r="B37" s="67" t="s">
        <v>95</v>
      </c>
      <c r="C37" s="61" t="s">
        <v>70</v>
      </c>
      <c r="D37" s="99" t="s">
        <v>92</v>
      </c>
      <c r="E37" s="61" t="s">
        <v>78</v>
      </c>
      <c r="F37" s="68">
        <v>0</v>
      </c>
      <c r="G37" s="89">
        <v>979.76</v>
      </c>
      <c r="H37" s="45">
        <f t="shared" ref="H37:H49" si="13">(G37*$I$2)+G37</f>
        <v>1229.5999999999999</v>
      </c>
      <c r="I37" s="45">
        <f t="shared" ref="I37:I49" si="14">F37*H37</f>
        <v>0</v>
      </c>
      <c r="J37" s="58"/>
      <c r="K37" s="58"/>
      <c r="L37" s="27"/>
      <c r="M37" s="27"/>
      <c r="O37" s="60"/>
    </row>
    <row r="38" spans="1:15" s="59" customFormat="1" ht="19.350000000000001" customHeight="1" x14ac:dyDescent="0.3">
      <c r="A38" s="54" t="s">
        <v>177</v>
      </c>
      <c r="B38" s="67" t="s">
        <v>96</v>
      </c>
      <c r="C38" s="61" t="s">
        <v>70</v>
      </c>
      <c r="D38" s="99" t="s">
        <v>93</v>
      </c>
      <c r="E38" s="61" t="s">
        <v>78</v>
      </c>
      <c r="F38" s="68">
        <v>0</v>
      </c>
      <c r="G38" s="89">
        <v>1034.9000000000001</v>
      </c>
      <c r="H38" s="45">
        <f t="shared" si="13"/>
        <v>1298.8</v>
      </c>
      <c r="I38" s="45">
        <f t="shared" si="14"/>
        <v>0</v>
      </c>
      <c r="J38" s="58"/>
      <c r="K38" s="58"/>
      <c r="L38" s="27"/>
      <c r="M38" s="27"/>
      <c r="O38" s="60"/>
    </row>
    <row r="39" spans="1:15" s="59" customFormat="1" ht="19.350000000000001" customHeight="1" x14ac:dyDescent="0.3">
      <c r="A39" s="52" t="s">
        <v>196</v>
      </c>
      <c r="B39" s="67" t="s">
        <v>261</v>
      </c>
      <c r="C39" s="61" t="s">
        <v>70</v>
      </c>
      <c r="D39" s="99" t="s">
        <v>262</v>
      </c>
      <c r="E39" s="61" t="s">
        <v>78</v>
      </c>
      <c r="F39" s="68">
        <v>0</v>
      </c>
      <c r="G39" s="89">
        <v>446.34</v>
      </c>
      <c r="H39" s="45">
        <f t="shared" ref="H39" si="15">(G39*$I$2)+G39</f>
        <v>560.16</v>
      </c>
      <c r="I39" s="45">
        <f t="shared" ref="I39" si="16">F39*H39</f>
        <v>0</v>
      </c>
      <c r="J39" s="58"/>
      <c r="K39" s="58"/>
      <c r="L39" s="27"/>
      <c r="M39" s="27"/>
      <c r="O39" s="60"/>
    </row>
    <row r="40" spans="1:15" s="59" customFormat="1" ht="19.350000000000001" customHeight="1" x14ac:dyDescent="0.3">
      <c r="A40" s="54" t="s">
        <v>197</v>
      </c>
      <c r="B40" s="67" t="s">
        <v>98</v>
      </c>
      <c r="C40" s="61" t="s">
        <v>70</v>
      </c>
      <c r="D40" s="99" t="s">
        <v>97</v>
      </c>
      <c r="E40" s="61" t="s">
        <v>78</v>
      </c>
      <c r="F40" s="68">
        <v>0</v>
      </c>
      <c r="G40" s="89">
        <v>1028.51</v>
      </c>
      <c r="H40" s="45">
        <f t="shared" si="13"/>
        <v>1290.78</v>
      </c>
      <c r="I40" s="45">
        <f t="shared" si="14"/>
        <v>0</v>
      </c>
      <c r="J40" s="58"/>
      <c r="K40" s="58"/>
      <c r="L40" s="27"/>
      <c r="M40" s="27"/>
      <c r="O40" s="60"/>
    </row>
    <row r="41" spans="1:15" s="59" customFormat="1" ht="19.350000000000001" customHeight="1" x14ac:dyDescent="0.3">
      <c r="A41" s="52" t="s">
        <v>198</v>
      </c>
      <c r="B41" s="67" t="s">
        <v>100</v>
      </c>
      <c r="C41" s="61" t="s">
        <v>70</v>
      </c>
      <c r="D41" s="99" t="s">
        <v>99</v>
      </c>
      <c r="E41" s="61" t="s">
        <v>78</v>
      </c>
      <c r="F41" s="68">
        <v>0</v>
      </c>
      <c r="G41" s="89">
        <v>999.19</v>
      </c>
      <c r="H41" s="45">
        <f t="shared" si="13"/>
        <v>1253.98</v>
      </c>
      <c r="I41" s="45">
        <f t="shared" si="14"/>
        <v>0</v>
      </c>
      <c r="J41" s="58"/>
      <c r="K41" s="58"/>
      <c r="L41" s="27"/>
      <c r="M41" s="27"/>
      <c r="O41" s="60"/>
    </row>
    <row r="42" spans="1:15" s="59" customFormat="1" ht="19.350000000000001" customHeight="1" x14ac:dyDescent="0.3">
      <c r="A42" s="54" t="s">
        <v>199</v>
      </c>
      <c r="B42" s="67" t="s">
        <v>102</v>
      </c>
      <c r="C42" s="61" t="s">
        <v>70</v>
      </c>
      <c r="D42" s="99" t="s">
        <v>101</v>
      </c>
      <c r="E42" s="61" t="s">
        <v>78</v>
      </c>
      <c r="F42" s="68">
        <v>0</v>
      </c>
      <c r="G42" s="89">
        <v>795.73</v>
      </c>
      <c r="H42" s="45">
        <f t="shared" si="13"/>
        <v>998.64</v>
      </c>
      <c r="I42" s="45">
        <f t="shared" si="14"/>
        <v>0</v>
      </c>
      <c r="J42" s="58"/>
      <c r="K42" s="58"/>
      <c r="L42" s="27"/>
      <c r="M42" s="27"/>
      <c r="O42" s="60"/>
    </row>
    <row r="43" spans="1:15" s="59" customFormat="1" ht="19.350000000000001" customHeight="1" x14ac:dyDescent="0.3">
      <c r="A43" s="52" t="s">
        <v>200</v>
      </c>
      <c r="B43" s="144" t="s">
        <v>104</v>
      </c>
      <c r="C43" s="145" t="s">
        <v>70</v>
      </c>
      <c r="D43" s="146" t="s">
        <v>103</v>
      </c>
      <c r="E43" s="145" t="s">
        <v>78</v>
      </c>
      <c r="F43" s="68">
        <v>0</v>
      </c>
      <c r="G43" s="89">
        <v>802.09</v>
      </c>
      <c r="H43" s="45">
        <f t="shared" si="13"/>
        <v>1006.62</v>
      </c>
      <c r="I43" s="45">
        <f t="shared" si="14"/>
        <v>0</v>
      </c>
      <c r="J43" s="58"/>
      <c r="K43" s="58"/>
      <c r="L43" s="27"/>
      <c r="M43" s="27"/>
      <c r="O43" s="60"/>
    </row>
    <row r="44" spans="1:15" s="59" customFormat="1" ht="19.350000000000001" customHeight="1" x14ac:dyDescent="0.3">
      <c r="A44" s="54" t="s">
        <v>201</v>
      </c>
      <c r="B44" s="148" t="s">
        <v>406</v>
      </c>
      <c r="C44" s="149" t="s">
        <v>70</v>
      </c>
      <c r="D44" s="150" t="s">
        <v>347</v>
      </c>
      <c r="E44" s="151" t="s">
        <v>78</v>
      </c>
      <c r="F44" s="68">
        <v>0</v>
      </c>
      <c r="G44" s="89">
        <v>937.75</v>
      </c>
      <c r="H44" s="45">
        <f t="shared" si="13"/>
        <v>1176.8800000000001</v>
      </c>
      <c r="I44" s="45">
        <f t="shared" si="14"/>
        <v>0</v>
      </c>
      <c r="J44" s="58"/>
      <c r="K44" s="58"/>
      <c r="L44" s="27"/>
      <c r="M44" s="27"/>
      <c r="O44" s="60"/>
    </row>
    <row r="45" spans="1:15" s="59" customFormat="1" ht="19.350000000000001" customHeight="1" x14ac:dyDescent="0.3">
      <c r="A45" s="52" t="s">
        <v>264</v>
      </c>
      <c r="B45" s="56" t="s">
        <v>106</v>
      </c>
      <c r="C45" s="147" t="s">
        <v>70</v>
      </c>
      <c r="D45" s="98" t="s">
        <v>105</v>
      </c>
      <c r="E45" s="147" t="s">
        <v>78</v>
      </c>
      <c r="F45" s="68">
        <v>0</v>
      </c>
      <c r="G45" s="89">
        <v>388.05</v>
      </c>
      <c r="H45" s="45">
        <f t="shared" si="13"/>
        <v>487</v>
      </c>
      <c r="I45" s="45">
        <f t="shared" si="14"/>
        <v>0</v>
      </c>
      <c r="J45" s="58"/>
      <c r="K45" s="58"/>
      <c r="L45" s="27"/>
      <c r="M45" s="27"/>
      <c r="O45" s="60"/>
    </row>
    <row r="46" spans="1:15" s="59" customFormat="1" ht="19.350000000000001" customHeight="1" x14ac:dyDescent="0.3">
      <c r="A46" s="54" t="s">
        <v>265</v>
      </c>
      <c r="B46" s="67" t="s">
        <v>109</v>
      </c>
      <c r="C46" s="61" t="s">
        <v>70</v>
      </c>
      <c r="D46" s="99" t="s">
        <v>107</v>
      </c>
      <c r="E46" s="61" t="s">
        <v>78</v>
      </c>
      <c r="F46" s="68">
        <v>0</v>
      </c>
      <c r="G46" s="89">
        <v>2272.21</v>
      </c>
      <c r="H46" s="45">
        <f t="shared" si="13"/>
        <v>2851.62</v>
      </c>
      <c r="I46" s="45">
        <f t="shared" si="14"/>
        <v>0</v>
      </c>
      <c r="J46" s="58"/>
      <c r="K46" s="58"/>
      <c r="L46" s="27"/>
      <c r="M46" s="27"/>
      <c r="O46" s="60"/>
    </row>
    <row r="47" spans="1:15" s="59" customFormat="1" ht="19.350000000000001" customHeight="1" x14ac:dyDescent="0.3">
      <c r="A47" s="52" t="s">
        <v>266</v>
      </c>
      <c r="B47" s="67" t="s">
        <v>110</v>
      </c>
      <c r="C47" s="61" t="s">
        <v>70</v>
      </c>
      <c r="D47" s="99" t="s">
        <v>108</v>
      </c>
      <c r="E47" s="61" t="s">
        <v>78</v>
      </c>
      <c r="F47" s="68">
        <v>0</v>
      </c>
      <c r="G47" s="89">
        <v>2272.21</v>
      </c>
      <c r="H47" s="45">
        <f t="shared" si="13"/>
        <v>2851.62</v>
      </c>
      <c r="I47" s="45">
        <f t="shared" si="14"/>
        <v>0</v>
      </c>
      <c r="J47" s="58"/>
      <c r="K47" s="58"/>
      <c r="L47" s="27"/>
      <c r="M47" s="27"/>
      <c r="O47" s="60"/>
    </row>
    <row r="48" spans="1:15" s="59" customFormat="1" ht="19.350000000000001" customHeight="1" x14ac:dyDescent="0.3">
      <c r="A48" s="54" t="s">
        <v>267</v>
      </c>
      <c r="B48" s="67" t="s">
        <v>112</v>
      </c>
      <c r="C48" s="61" t="s">
        <v>70</v>
      </c>
      <c r="D48" s="99" t="s">
        <v>111</v>
      </c>
      <c r="E48" s="61" t="s">
        <v>78</v>
      </c>
      <c r="F48" s="68">
        <v>0</v>
      </c>
      <c r="G48" s="89">
        <v>344.49</v>
      </c>
      <c r="H48" s="45">
        <f t="shared" si="13"/>
        <v>432.33</v>
      </c>
      <c r="I48" s="45">
        <f t="shared" si="14"/>
        <v>0</v>
      </c>
      <c r="J48" s="58"/>
      <c r="K48" s="58"/>
      <c r="L48" s="27"/>
      <c r="M48" s="27"/>
      <c r="O48" s="60"/>
    </row>
    <row r="49" spans="1:15" s="59" customFormat="1" ht="29.1" customHeight="1" x14ac:dyDescent="0.3">
      <c r="A49" s="52" t="s">
        <v>372</v>
      </c>
      <c r="B49" s="67" t="s">
        <v>193</v>
      </c>
      <c r="C49" s="61" t="s">
        <v>70</v>
      </c>
      <c r="D49" s="99" t="s">
        <v>194</v>
      </c>
      <c r="E49" s="61" t="s">
        <v>195</v>
      </c>
      <c r="F49" s="68">
        <v>0</v>
      </c>
      <c r="G49" s="152">
        <v>0.17</v>
      </c>
      <c r="H49" s="153">
        <f t="shared" si="13"/>
        <v>0.21</v>
      </c>
      <c r="I49" s="153">
        <f t="shared" si="14"/>
        <v>0</v>
      </c>
      <c r="J49" s="58"/>
      <c r="K49" s="58"/>
      <c r="L49" s="27"/>
      <c r="M49" s="27"/>
      <c r="O49" s="60"/>
    </row>
    <row r="50" spans="1:15" s="59" customFormat="1" ht="19.5" customHeight="1" x14ac:dyDescent="0.3">
      <c r="A50" s="54" t="s">
        <v>373</v>
      </c>
      <c r="B50" s="67">
        <v>65001519</v>
      </c>
      <c r="C50" s="61" t="s">
        <v>348</v>
      </c>
      <c r="D50" s="99" t="s">
        <v>349</v>
      </c>
      <c r="E50" s="61" t="s">
        <v>224</v>
      </c>
      <c r="F50" s="68">
        <v>0</v>
      </c>
      <c r="G50" s="154">
        <f>'[6]Table 1'!G48</f>
        <v>2579.14</v>
      </c>
      <c r="H50" s="155">
        <f>'[6]Table 1'!H48</f>
        <v>3263.64</v>
      </c>
      <c r="I50" s="155">
        <v>0</v>
      </c>
      <c r="J50" s="58"/>
      <c r="K50" s="58"/>
      <c r="L50" s="27"/>
      <c r="M50" s="27"/>
      <c r="O50" s="60"/>
    </row>
    <row r="51" spans="1:15" s="59" customFormat="1" ht="19.5" customHeight="1" x14ac:dyDescent="0.3">
      <c r="A51" s="52" t="s">
        <v>374</v>
      </c>
      <c r="B51" s="67" t="s">
        <v>396</v>
      </c>
      <c r="C51" s="61" t="s">
        <v>348</v>
      </c>
      <c r="D51" s="99" t="s">
        <v>350</v>
      </c>
      <c r="E51" s="61" t="s">
        <v>12</v>
      </c>
      <c r="F51" s="68">
        <v>0</v>
      </c>
      <c r="G51" s="154">
        <f>'[6]Table 1'!G49</f>
        <v>10294.6</v>
      </c>
      <c r="H51" s="155">
        <f>'[6]Table 1'!H49</f>
        <v>13026.79</v>
      </c>
      <c r="I51" s="155">
        <v>0</v>
      </c>
      <c r="J51" s="58"/>
      <c r="K51" s="58"/>
      <c r="L51" s="27"/>
      <c r="M51" s="27"/>
      <c r="O51" s="60"/>
    </row>
    <row r="52" spans="1:15" s="59" customFormat="1" ht="19.5" customHeight="1" x14ac:dyDescent="0.3">
      <c r="A52" s="54" t="s">
        <v>375</v>
      </c>
      <c r="B52" s="67" t="s">
        <v>397</v>
      </c>
      <c r="C52" s="61" t="s">
        <v>348</v>
      </c>
      <c r="D52" s="99" t="s">
        <v>351</v>
      </c>
      <c r="E52" s="61" t="s">
        <v>12</v>
      </c>
      <c r="F52" s="68">
        <v>0</v>
      </c>
      <c r="G52" s="154">
        <f>'[6]Table 1'!G50</f>
        <v>13726.14</v>
      </c>
      <c r="H52" s="155">
        <f>'[6]Table 1'!H50</f>
        <v>17369.060000000001</v>
      </c>
      <c r="I52" s="155">
        <v>0</v>
      </c>
      <c r="J52" s="58"/>
      <c r="K52" s="58"/>
      <c r="L52" s="27"/>
      <c r="M52" s="27"/>
      <c r="O52" s="60"/>
    </row>
    <row r="53" spans="1:15" s="59" customFormat="1" ht="24.75" customHeight="1" x14ac:dyDescent="0.3">
      <c r="A53" s="52" t="s">
        <v>376</v>
      </c>
      <c r="B53" s="67" t="s">
        <v>398</v>
      </c>
      <c r="C53" s="61" t="s">
        <v>348</v>
      </c>
      <c r="D53" s="99" t="s">
        <v>352</v>
      </c>
      <c r="E53" s="61" t="s">
        <v>12</v>
      </c>
      <c r="F53" s="68">
        <v>0</v>
      </c>
      <c r="G53" s="154">
        <f>'[6]Table 1'!G51</f>
        <v>42365.16</v>
      </c>
      <c r="H53" s="155">
        <f>'[6]Table 1'!H51</f>
        <v>53608.87</v>
      </c>
      <c r="I53" s="155">
        <v>0</v>
      </c>
      <c r="J53" s="58"/>
      <c r="K53" s="58"/>
      <c r="L53" s="27"/>
      <c r="M53" s="27"/>
      <c r="O53" s="60"/>
    </row>
    <row r="54" spans="1:15" s="59" customFormat="1" ht="24.75" customHeight="1" x14ac:dyDescent="0.3">
      <c r="A54" s="54" t="s">
        <v>377</v>
      </c>
      <c r="B54" s="67" t="s">
        <v>399</v>
      </c>
      <c r="C54" s="61" t="s">
        <v>348</v>
      </c>
      <c r="D54" s="99" t="s">
        <v>353</v>
      </c>
      <c r="E54" s="61" t="s">
        <v>12</v>
      </c>
      <c r="F54" s="68">
        <v>0</v>
      </c>
      <c r="G54" s="154">
        <f>'[6]Table 1'!G52</f>
        <v>29420.25</v>
      </c>
      <c r="H54" s="155">
        <f>'[6]Table 1'!H52</f>
        <v>37228.379999999997</v>
      </c>
      <c r="I54" s="155">
        <v>0</v>
      </c>
      <c r="J54" s="58"/>
      <c r="K54" s="58"/>
      <c r="L54" s="27"/>
      <c r="M54" s="27"/>
      <c r="O54" s="60"/>
    </row>
    <row r="55" spans="1:15" s="59" customFormat="1" ht="19.5" customHeight="1" x14ac:dyDescent="0.3">
      <c r="A55" s="52" t="s">
        <v>378</v>
      </c>
      <c r="B55" s="67" t="s">
        <v>400</v>
      </c>
      <c r="C55" s="61" t="s">
        <v>348</v>
      </c>
      <c r="D55" s="99" t="s">
        <v>354</v>
      </c>
      <c r="E55" s="61" t="s">
        <v>224</v>
      </c>
      <c r="F55" s="68">
        <v>0</v>
      </c>
      <c r="G55" s="154">
        <f>'[6]Table 1'!G53</f>
        <v>1535.04</v>
      </c>
      <c r="H55" s="155">
        <f>'[6]Table 1'!H53</f>
        <v>1942.44</v>
      </c>
      <c r="I55" s="155">
        <v>0</v>
      </c>
      <c r="J55" s="58"/>
      <c r="K55" s="58"/>
      <c r="L55" s="27"/>
      <c r="M55" s="27"/>
      <c r="O55" s="60"/>
    </row>
    <row r="56" spans="1:15" s="59" customFormat="1" ht="19.5" customHeight="1" x14ac:dyDescent="0.3">
      <c r="A56" s="54" t="s">
        <v>379</v>
      </c>
      <c r="B56" s="67" t="s">
        <v>401</v>
      </c>
      <c r="C56" s="61" t="s">
        <v>348</v>
      </c>
      <c r="D56" s="99" t="s">
        <v>355</v>
      </c>
      <c r="E56" s="61" t="s">
        <v>12</v>
      </c>
      <c r="F56" s="68">
        <v>0</v>
      </c>
      <c r="G56" s="154">
        <f>'[6]Table 1'!G54</f>
        <v>3701.91</v>
      </c>
      <c r="H56" s="155">
        <f>'[6]Table 1'!H54</f>
        <v>4684.3999999999996</v>
      </c>
      <c r="I56" s="155">
        <v>0</v>
      </c>
      <c r="J56" s="58"/>
      <c r="K56" s="58"/>
      <c r="L56" s="27"/>
      <c r="M56" s="27"/>
      <c r="O56" s="60"/>
    </row>
    <row r="57" spans="1:15" s="59" customFormat="1" ht="19.5" customHeight="1" x14ac:dyDescent="0.3">
      <c r="A57" s="52" t="s">
        <v>380</v>
      </c>
      <c r="B57" s="67" t="s">
        <v>402</v>
      </c>
      <c r="C57" s="61" t="s">
        <v>348</v>
      </c>
      <c r="D57" s="99" t="s">
        <v>356</v>
      </c>
      <c r="E57" s="61" t="s">
        <v>12</v>
      </c>
      <c r="F57" s="68">
        <v>0</v>
      </c>
      <c r="G57" s="154">
        <f>'[6]Table 1'!G55</f>
        <v>2226.91</v>
      </c>
      <c r="H57" s="155">
        <f>'[6]Table 1'!H55</f>
        <v>2817.93</v>
      </c>
      <c r="I57" s="155">
        <v>0</v>
      </c>
      <c r="J57" s="58"/>
      <c r="K57" s="58"/>
      <c r="L57" s="27"/>
      <c r="M57" s="27"/>
      <c r="O57" s="60"/>
    </row>
    <row r="58" spans="1:15" s="59" customFormat="1" ht="19.5" customHeight="1" x14ac:dyDescent="0.3">
      <c r="A58" s="54" t="s">
        <v>381</v>
      </c>
      <c r="B58" s="67" t="s">
        <v>403</v>
      </c>
      <c r="C58" s="61" t="s">
        <v>348</v>
      </c>
      <c r="D58" s="99" t="s">
        <v>357</v>
      </c>
      <c r="E58" s="61" t="s">
        <v>12</v>
      </c>
      <c r="F58" s="68">
        <v>0</v>
      </c>
      <c r="G58" s="154">
        <f>'[6]Table 1'!G56</f>
        <v>2599.7800000000002</v>
      </c>
      <c r="H58" s="155">
        <f>'[6]Table 1'!H56</f>
        <v>3289.76</v>
      </c>
      <c r="I58" s="155">
        <v>0</v>
      </c>
      <c r="J58" s="58"/>
      <c r="K58" s="58"/>
      <c r="L58" s="27"/>
      <c r="M58" s="27"/>
      <c r="O58" s="60"/>
    </row>
    <row r="59" spans="1:15" s="59" customFormat="1" ht="19.5" customHeight="1" x14ac:dyDescent="0.3">
      <c r="A59" s="52" t="s">
        <v>382</v>
      </c>
      <c r="B59" s="67" t="s">
        <v>404</v>
      </c>
      <c r="C59" s="61" t="s">
        <v>348</v>
      </c>
      <c r="D59" s="99" t="s">
        <v>358</v>
      </c>
      <c r="E59" s="61" t="s">
        <v>12</v>
      </c>
      <c r="F59" s="68">
        <v>0</v>
      </c>
      <c r="G59" s="154">
        <f>'[6]Table 1'!G57</f>
        <v>2599.7800000000002</v>
      </c>
      <c r="H59" s="155">
        <f>'[6]Table 1'!H57</f>
        <v>3289.76</v>
      </c>
      <c r="I59" s="155">
        <v>0</v>
      </c>
      <c r="J59" s="58"/>
      <c r="K59" s="58"/>
      <c r="L59" s="27"/>
      <c r="M59" s="27"/>
      <c r="O59" s="60"/>
    </row>
    <row r="60" spans="1:15" s="59" customFormat="1" ht="19.5" customHeight="1" x14ac:dyDescent="0.3">
      <c r="A60" s="165" t="s">
        <v>407</v>
      </c>
      <c r="B60" s="144" t="s">
        <v>405</v>
      </c>
      <c r="C60" s="145" t="s">
        <v>348</v>
      </c>
      <c r="D60" s="146" t="s">
        <v>359</v>
      </c>
      <c r="E60" s="145" t="s">
        <v>224</v>
      </c>
      <c r="F60" s="171">
        <v>0</v>
      </c>
      <c r="G60" s="170">
        <f>'[6]Table 1'!G58</f>
        <v>2954.73</v>
      </c>
      <c r="H60" s="172">
        <f>'[6]Table 1'!H58</f>
        <v>3738.92</v>
      </c>
      <c r="I60" s="172">
        <v>0</v>
      </c>
      <c r="J60" s="58"/>
      <c r="K60" s="58"/>
      <c r="L60" s="27"/>
      <c r="M60" s="27"/>
      <c r="O60" s="60"/>
    </row>
    <row r="61" spans="1:15" s="59" customFormat="1" ht="8.65" customHeight="1" x14ac:dyDescent="0.3">
      <c r="A61" s="222"/>
      <c r="B61" s="223"/>
      <c r="C61" s="223"/>
      <c r="D61" s="223"/>
      <c r="E61" s="223"/>
      <c r="F61" s="223"/>
      <c r="G61" s="223"/>
      <c r="H61" s="223"/>
      <c r="I61" s="224"/>
      <c r="J61" s="58"/>
      <c r="K61" s="58"/>
      <c r="L61" s="27"/>
      <c r="M61" s="27"/>
      <c r="O61" s="60"/>
    </row>
    <row r="62" spans="1:15" s="26" customFormat="1" ht="19.350000000000001" customHeight="1" x14ac:dyDescent="0.3">
      <c r="A62" s="104" t="s">
        <v>283</v>
      </c>
      <c r="B62" s="102"/>
      <c r="C62" s="103"/>
      <c r="D62" s="209" t="s">
        <v>226</v>
      </c>
      <c r="E62" s="210"/>
      <c r="F62" s="210"/>
      <c r="G62" s="210"/>
      <c r="H62" s="211"/>
      <c r="I62" s="48">
        <f>SUM(I63:I68)</f>
        <v>0</v>
      </c>
      <c r="J62" s="49"/>
      <c r="K62" s="49"/>
      <c r="L62" s="27"/>
      <c r="M62" s="27"/>
      <c r="O62" s="28"/>
    </row>
    <row r="63" spans="1:15" ht="19.350000000000001" customHeight="1" x14ac:dyDescent="0.3">
      <c r="A63" s="50" t="s">
        <v>31</v>
      </c>
      <c r="B63" s="156" t="s">
        <v>360</v>
      </c>
      <c r="C63" s="156" t="s">
        <v>11</v>
      </c>
      <c r="D63" s="157" t="s">
        <v>366</v>
      </c>
      <c r="E63" s="156" t="s">
        <v>195</v>
      </c>
      <c r="F63" s="158">
        <v>0</v>
      </c>
      <c r="G63" s="159">
        <v>0.83</v>
      </c>
      <c r="H63" s="158">
        <f>ROUND(G63+G63*$I$2,2)</f>
        <v>1.04</v>
      </c>
      <c r="I63" s="160">
        <f>H63*F63</f>
        <v>0</v>
      </c>
      <c r="J63" s="49"/>
      <c r="K63" s="49"/>
      <c r="N63" s="28"/>
    </row>
    <row r="64" spans="1:15" ht="19.350000000000001" customHeight="1" x14ac:dyDescent="0.3">
      <c r="A64" s="52" t="s">
        <v>205</v>
      </c>
      <c r="B64" s="161" t="s">
        <v>361</v>
      </c>
      <c r="C64" s="161" t="s">
        <v>11</v>
      </c>
      <c r="D64" s="162" t="s">
        <v>367</v>
      </c>
      <c r="E64" s="161" t="s">
        <v>195</v>
      </c>
      <c r="F64" s="163">
        <v>0</v>
      </c>
      <c r="G64" s="164">
        <v>0.21</v>
      </c>
      <c r="H64" s="163">
        <f>ROUND(G64+G64*$I$2,2)</f>
        <v>0.26</v>
      </c>
      <c r="I64" s="154">
        <f t="shared" ref="I64:I68" si="17">H64*F64</f>
        <v>0</v>
      </c>
      <c r="J64" s="49"/>
      <c r="K64" s="49"/>
      <c r="N64" s="28"/>
    </row>
    <row r="65" spans="1:15" ht="19.350000000000001" customHeight="1" x14ac:dyDescent="0.3">
      <c r="A65" s="52" t="s">
        <v>284</v>
      </c>
      <c r="B65" s="161" t="s">
        <v>362</v>
      </c>
      <c r="C65" s="161" t="s">
        <v>11</v>
      </c>
      <c r="D65" s="162" t="s">
        <v>368</v>
      </c>
      <c r="E65" s="161" t="s">
        <v>195</v>
      </c>
      <c r="F65" s="163">
        <v>0</v>
      </c>
      <c r="G65" s="164">
        <v>7.26</v>
      </c>
      <c r="H65" s="163">
        <f t="shared" ref="H65:H68" si="18">ROUND(G65+G65*$I$2,2)</f>
        <v>9.11</v>
      </c>
      <c r="I65" s="154">
        <f t="shared" si="17"/>
        <v>0</v>
      </c>
      <c r="J65" s="49"/>
      <c r="K65" s="49"/>
      <c r="N65" s="28"/>
    </row>
    <row r="66" spans="1:15" ht="19.350000000000001" customHeight="1" x14ac:dyDescent="0.3">
      <c r="A66" s="52" t="s">
        <v>285</v>
      </c>
      <c r="B66" s="161" t="s">
        <v>363</v>
      </c>
      <c r="C66" s="161" t="s">
        <v>11</v>
      </c>
      <c r="D66" s="162" t="s">
        <v>369</v>
      </c>
      <c r="E66" s="161" t="s">
        <v>195</v>
      </c>
      <c r="F66" s="163">
        <v>0</v>
      </c>
      <c r="G66" s="164">
        <v>1.82</v>
      </c>
      <c r="H66" s="163">
        <f t="shared" si="18"/>
        <v>2.2799999999999998</v>
      </c>
      <c r="I66" s="154">
        <f t="shared" si="17"/>
        <v>0</v>
      </c>
      <c r="J66" s="49"/>
      <c r="K66" s="49"/>
      <c r="N66" s="28"/>
    </row>
    <row r="67" spans="1:15" ht="19.350000000000001" customHeight="1" x14ac:dyDescent="0.3">
      <c r="A67" s="52" t="s">
        <v>286</v>
      </c>
      <c r="B67" s="161" t="s">
        <v>364</v>
      </c>
      <c r="C67" s="161" t="s">
        <v>11</v>
      </c>
      <c r="D67" s="162" t="s">
        <v>370</v>
      </c>
      <c r="E67" s="161" t="s">
        <v>195</v>
      </c>
      <c r="F67" s="163">
        <v>0</v>
      </c>
      <c r="G67" s="164">
        <v>5.97</v>
      </c>
      <c r="H67" s="163">
        <f t="shared" si="18"/>
        <v>7.49</v>
      </c>
      <c r="I67" s="154">
        <f t="shared" si="17"/>
        <v>0</v>
      </c>
      <c r="J67" s="49"/>
      <c r="K67" s="49"/>
      <c r="N67" s="28"/>
    </row>
    <row r="68" spans="1:15" ht="19.350000000000001" customHeight="1" x14ac:dyDescent="0.3">
      <c r="A68" s="165" t="s">
        <v>287</v>
      </c>
      <c r="B68" s="166" t="s">
        <v>365</v>
      </c>
      <c r="C68" s="166" t="s">
        <v>11</v>
      </c>
      <c r="D68" s="167" t="s">
        <v>371</v>
      </c>
      <c r="E68" s="166" t="s">
        <v>195</v>
      </c>
      <c r="F68" s="168">
        <v>0</v>
      </c>
      <c r="G68" s="169">
        <v>1.49</v>
      </c>
      <c r="H68" s="168">
        <f t="shared" si="18"/>
        <v>1.87</v>
      </c>
      <c r="I68" s="170">
        <f t="shared" si="17"/>
        <v>0</v>
      </c>
      <c r="J68" s="49"/>
      <c r="K68" s="49"/>
      <c r="N68" s="28"/>
    </row>
    <row r="69" spans="1:15" ht="8.65" customHeight="1" x14ac:dyDescent="0.3">
      <c r="A69" s="222"/>
      <c r="B69" s="223"/>
      <c r="C69" s="223"/>
      <c r="D69" s="223"/>
      <c r="E69" s="223"/>
      <c r="F69" s="223"/>
      <c r="G69" s="223"/>
      <c r="H69" s="223"/>
      <c r="I69" s="224"/>
      <c r="J69" s="49"/>
      <c r="K69" s="49"/>
      <c r="N69" s="28"/>
    </row>
    <row r="70" spans="1:15" ht="19.350000000000001" customHeight="1" x14ac:dyDescent="0.3">
      <c r="A70" s="104" t="s">
        <v>288</v>
      </c>
      <c r="B70" s="102"/>
      <c r="C70" s="103"/>
      <c r="D70" s="209" t="s">
        <v>227</v>
      </c>
      <c r="E70" s="210"/>
      <c r="F70" s="210"/>
      <c r="G70" s="210"/>
      <c r="H70" s="211"/>
      <c r="I70" s="48">
        <f>SUM(I71:I76)</f>
        <v>0</v>
      </c>
      <c r="J70" s="49"/>
      <c r="K70" s="49"/>
      <c r="N70" s="28"/>
    </row>
    <row r="71" spans="1:15" ht="19.350000000000001" customHeight="1" x14ac:dyDescent="0.3">
      <c r="A71" s="52" t="s">
        <v>32</v>
      </c>
      <c r="B71" s="67" t="s">
        <v>228</v>
      </c>
      <c r="C71" s="61" t="s">
        <v>70</v>
      </c>
      <c r="D71" s="69" t="s">
        <v>230</v>
      </c>
      <c r="E71" s="61" t="s">
        <v>12</v>
      </c>
      <c r="F71" s="68">
        <v>0</v>
      </c>
      <c r="G71" s="89">
        <v>155.27000000000001</v>
      </c>
      <c r="H71" s="45">
        <f t="shared" ref="H71:H74" si="19">(G71*$I$2)+G71</f>
        <v>194.86</v>
      </c>
      <c r="I71" s="45">
        <f t="shared" ref="I71:I74" si="20">F71*H71</f>
        <v>0</v>
      </c>
      <c r="J71" s="49"/>
      <c r="K71" s="49"/>
      <c r="N71" s="28"/>
    </row>
    <row r="72" spans="1:15" ht="19.350000000000001" customHeight="1" x14ac:dyDescent="0.3">
      <c r="A72" s="52" t="s">
        <v>69</v>
      </c>
      <c r="B72" s="67" t="s">
        <v>229</v>
      </c>
      <c r="C72" s="61" t="s">
        <v>70</v>
      </c>
      <c r="D72" s="69" t="s">
        <v>231</v>
      </c>
      <c r="E72" s="61" t="s">
        <v>12</v>
      </c>
      <c r="F72" s="68">
        <v>0</v>
      </c>
      <c r="G72" s="89">
        <v>78.010000000000005</v>
      </c>
      <c r="H72" s="45">
        <f t="shared" si="19"/>
        <v>97.9</v>
      </c>
      <c r="I72" s="45">
        <f t="shared" si="20"/>
        <v>0</v>
      </c>
      <c r="J72" s="49"/>
      <c r="K72" s="49"/>
      <c r="N72" s="28"/>
    </row>
    <row r="73" spans="1:15" ht="19.350000000000001" customHeight="1" x14ac:dyDescent="0.3">
      <c r="A73" s="52" t="s">
        <v>289</v>
      </c>
      <c r="B73" s="67" t="s">
        <v>233</v>
      </c>
      <c r="C73" s="61" t="s">
        <v>70</v>
      </c>
      <c r="D73" s="69" t="s">
        <v>237</v>
      </c>
      <c r="E73" s="61" t="s">
        <v>232</v>
      </c>
      <c r="F73" s="68">
        <v>0</v>
      </c>
      <c r="G73" s="89">
        <v>147.85</v>
      </c>
      <c r="H73" s="45">
        <f t="shared" si="19"/>
        <v>185.55</v>
      </c>
      <c r="I73" s="45">
        <f t="shared" si="20"/>
        <v>0</v>
      </c>
      <c r="J73" s="49"/>
      <c r="K73" s="49"/>
      <c r="N73" s="28"/>
    </row>
    <row r="74" spans="1:15" ht="19.350000000000001" customHeight="1" x14ac:dyDescent="0.3">
      <c r="A74" s="52" t="s">
        <v>290</v>
      </c>
      <c r="B74" s="67" t="s">
        <v>234</v>
      </c>
      <c r="C74" s="61" t="s">
        <v>70</v>
      </c>
      <c r="D74" s="69" t="s">
        <v>238</v>
      </c>
      <c r="E74" s="61" t="s">
        <v>232</v>
      </c>
      <c r="F74" s="68">
        <v>0</v>
      </c>
      <c r="G74" s="89">
        <v>126.73</v>
      </c>
      <c r="H74" s="45">
        <f t="shared" si="19"/>
        <v>159.05000000000001</v>
      </c>
      <c r="I74" s="45">
        <f t="shared" si="20"/>
        <v>0</v>
      </c>
      <c r="J74" s="49"/>
      <c r="K74" s="49"/>
      <c r="N74" s="28"/>
    </row>
    <row r="75" spans="1:15" ht="19.350000000000001" customHeight="1" x14ac:dyDescent="0.3">
      <c r="A75" s="52" t="s">
        <v>291</v>
      </c>
      <c r="B75" s="67" t="s">
        <v>235</v>
      </c>
      <c r="C75" s="61" t="s">
        <v>70</v>
      </c>
      <c r="D75" s="69" t="s">
        <v>239</v>
      </c>
      <c r="E75" s="61" t="s">
        <v>232</v>
      </c>
      <c r="F75" s="68">
        <v>0</v>
      </c>
      <c r="G75" s="89">
        <v>109.84</v>
      </c>
      <c r="H75" s="45">
        <f t="shared" ref="H75:H76" si="21">(G75*$I$2)+G75</f>
        <v>137.85</v>
      </c>
      <c r="I75" s="45">
        <f t="shared" ref="I75:I76" si="22">F75*H75</f>
        <v>0</v>
      </c>
      <c r="J75" s="49"/>
      <c r="K75" s="49"/>
      <c r="N75" s="28"/>
    </row>
    <row r="76" spans="1:15" ht="19.350000000000001" customHeight="1" x14ac:dyDescent="0.3">
      <c r="A76" s="52" t="s">
        <v>292</v>
      </c>
      <c r="B76" s="67" t="s">
        <v>236</v>
      </c>
      <c r="C76" s="61" t="s">
        <v>70</v>
      </c>
      <c r="D76" s="69" t="s">
        <v>240</v>
      </c>
      <c r="E76" s="61" t="s">
        <v>232</v>
      </c>
      <c r="F76" s="68">
        <v>0</v>
      </c>
      <c r="G76" s="89">
        <v>84.49</v>
      </c>
      <c r="H76" s="45">
        <f t="shared" si="21"/>
        <v>106.03</v>
      </c>
      <c r="I76" s="45">
        <f t="shared" si="22"/>
        <v>0</v>
      </c>
      <c r="J76" s="49"/>
      <c r="K76" s="49"/>
      <c r="N76" s="28"/>
    </row>
    <row r="77" spans="1:15" ht="8.65" customHeight="1" x14ac:dyDescent="0.3">
      <c r="A77" s="139"/>
      <c r="B77" s="121"/>
      <c r="C77" s="121"/>
      <c r="D77" s="121"/>
      <c r="E77" s="121"/>
      <c r="F77" s="121"/>
      <c r="G77" s="121"/>
      <c r="H77" s="121"/>
      <c r="I77" s="140"/>
      <c r="J77" s="49"/>
      <c r="K77" s="49"/>
      <c r="N77" s="28"/>
    </row>
    <row r="78" spans="1:15" ht="18.75" customHeight="1" x14ac:dyDescent="0.3">
      <c r="A78" s="206" t="s">
        <v>343</v>
      </c>
      <c r="B78" s="207"/>
      <c r="C78" s="207"/>
      <c r="D78" s="207"/>
      <c r="E78" s="207"/>
      <c r="F78" s="207"/>
      <c r="G78" s="207"/>
      <c r="H78" s="208"/>
      <c r="I78" s="176">
        <f>I79</f>
        <v>87363.8</v>
      </c>
      <c r="J78" s="49"/>
      <c r="K78" s="49"/>
      <c r="N78" s="28"/>
    </row>
    <row r="79" spans="1:15" s="26" customFormat="1" ht="19.350000000000001" customHeight="1" x14ac:dyDescent="0.3">
      <c r="A79" s="104" t="s">
        <v>293</v>
      </c>
      <c r="B79" s="204"/>
      <c r="C79" s="205"/>
      <c r="D79" s="209" t="s">
        <v>344</v>
      </c>
      <c r="E79" s="210"/>
      <c r="F79" s="210"/>
      <c r="G79" s="210"/>
      <c r="H79" s="211"/>
      <c r="I79" s="48">
        <f>SUM(I80:I84)</f>
        <v>87363.8</v>
      </c>
      <c r="L79" s="27"/>
      <c r="M79" s="27"/>
      <c r="O79" s="28"/>
    </row>
    <row r="80" spans="1:15" s="26" customFormat="1" ht="19.350000000000001" customHeight="1" x14ac:dyDescent="0.3">
      <c r="A80" s="178" t="s">
        <v>294</v>
      </c>
      <c r="B80" s="179" t="s">
        <v>202</v>
      </c>
      <c r="C80" s="179" t="s">
        <v>70</v>
      </c>
      <c r="D80" s="180" t="s">
        <v>203</v>
      </c>
      <c r="E80" s="181" t="s">
        <v>12</v>
      </c>
      <c r="F80" s="182">
        <v>20</v>
      </c>
      <c r="G80" s="183">
        <v>995.97</v>
      </c>
      <c r="H80" s="184">
        <f>(G80*$I$2)+G80</f>
        <v>1249.94</v>
      </c>
      <c r="I80" s="185">
        <f>F80*H80</f>
        <v>24998.799999999999</v>
      </c>
      <c r="K80" s="47"/>
      <c r="L80" s="27"/>
      <c r="M80" s="27"/>
      <c r="O80" s="28"/>
    </row>
    <row r="81" spans="1:1024" s="26" customFormat="1" ht="19.350000000000001" customHeight="1" x14ac:dyDescent="0.3">
      <c r="A81" s="178" t="s">
        <v>295</v>
      </c>
      <c r="B81" s="186" t="s">
        <v>222</v>
      </c>
      <c r="C81" s="181" t="s">
        <v>70</v>
      </c>
      <c r="D81" s="187" t="s">
        <v>204</v>
      </c>
      <c r="E81" s="181" t="s">
        <v>12</v>
      </c>
      <c r="F81" s="188">
        <v>20</v>
      </c>
      <c r="G81" s="189">
        <v>2438.61</v>
      </c>
      <c r="H81" s="190">
        <f>(G81*$I$2)+G81</f>
        <v>3060.46</v>
      </c>
      <c r="I81" s="190">
        <f>F81*H81</f>
        <v>61209.2</v>
      </c>
      <c r="K81" s="47"/>
      <c r="L81" s="27"/>
      <c r="M81" s="27"/>
      <c r="O81" s="28"/>
    </row>
    <row r="82" spans="1:1024" s="26" customFormat="1" ht="19.350000000000001" customHeight="1" x14ac:dyDescent="0.3">
      <c r="A82" s="178" t="s">
        <v>296</v>
      </c>
      <c r="B82" s="186" t="s">
        <v>241</v>
      </c>
      <c r="C82" s="181" t="s">
        <v>70</v>
      </c>
      <c r="D82" s="187" t="s">
        <v>244</v>
      </c>
      <c r="E82" s="181" t="s">
        <v>195</v>
      </c>
      <c r="F82" s="188">
        <v>10</v>
      </c>
      <c r="G82" s="188">
        <v>0.27</v>
      </c>
      <c r="H82" s="190">
        <f t="shared" ref="H82:H84" si="23">(G82*$I$2)+G82</f>
        <v>0.34</v>
      </c>
      <c r="I82" s="190">
        <f t="shared" ref="I82:I84" si="24">F82*H82</f>
        <v>3.4</v>
      </c>
      <c r="K82" s="47"/>
      <c r="L82" s="27"/>
      <c r="M82" s="27"/>
      <c r="O82" s="28"/>
    </row>
    <row r="83" spans="1:1024" s="26" customFormat="1" ht="19.350000000000001" customHeight="1" x14ac:dyDescent="0.3">
      <c r="A83" s="178" t="s">
        <v>297</v>
      </c>
      <c r="B83" s="186" t="s">
        <v>242</v>
      </c>
      <c r="C83" s="181" t="s">
        <v>70</v>
      </c>
      <c r="D83" s="187" t="s">
        <v>245</v>
      </c>
      <c r="E83" s="181" t="s">
        <v>195</v>
      </c>
      <c r="F83" s="188">
        <v>10</v>
      </c>
      <c r="G83" s="188">
        <v>0.19</v>
      </c>
      <c r="H83" s="190">
        <f t="shared" si="23"/>
        <v>0.24</v>
      </c>
      <c r="I83" s="190">
        <f t="shared" si="24"/>
        <v>2.4</v>
      </c>
      <c r="K83" s="47"/>
      <c r="L83" s="27"/>
      <c r="M83" s="27"/>
      <c r="O83" s="28"/>
    </row>
    <row r="84" spans="1:1024" s="26" customFormat="1" ht="19.350000000000001" customHeight="1" x14ac:dyDescent="0.3">
      <c r="A84" s="178" t="s">
        <v>298</v>
      </c>
      <c r="B84" s="186" t="s">
        <v>243</v>
      </c>
      <c r="C84" s="181" t="s">
        <v>70</v>
      </c>
      <c r="D84" s="187" t="s">
        <v>246</v>
      </c>
      <c r="E84" s="181" t="s">
        <v>224</v>
      </c>
      <c r="F84" s="188">
        <v>1000</v>
      </c>
      <c r="G84" s="188">
        <v>0.92</v>
      </c>
      <c r="H84" s="190">
        <f t="shared" si="23"/>
        <v>1.1499999999999999</v>
      </c>
      <c r="I84" s="190">
        <f t="shared" si="24"/>
        <v>1150</v>
      </c>
      <c r="K84" s="47"/>
      <c r="L84" s="27"/>
      <c r="M84" s="27"/>
      <c r="O84" s="28"/>
    </row>
    <row r="85" spans="1:1024" s="26" customFormat="1" ht="18" customHeight="1" x14ac:dyDescent="0.3">
      <c r="A85" s="228"/>
      <c r="B85" s="229"/>
      <c r="C85" s="229"/>
      <c r="D85" s="229"/>
      <c r="E85" s="229"/>
      <c r="F85" s="229"/>
      <c r="G85" s="229"/>
      <c r="H85" s="229"/>
      <c r="I85" s="230"/>
      <c r="K85" s="47"/>
      <c r="L85" s="27"/>
      <c r="M85" s="27"/>
      <c r="O85" s="28"/>
    </row>
    <row r="86" spans="1:1024" s="26" customFormat="1" ht="18.75" customHeight="1" x14ac:dyDescent="0.3">
      <c r="A86" s="206" t="s">
        <v>342</v>
      </c>
      <c r="B86" s="207"/>
      <c r="C86" s="207"/>
      <c r="D86" s="207"/>
      <c r="E86" s="207"/>
      <c r="F86" s="207"/>
      <c r="G86" s="207"/>
      <c r="H86" s="208"/>
      <c r="I86" s="176">
        <f>I87</f>
        <v>0</v>
      </c>
      <c r="K86" s="47"/>
      <c r="L86" s="27"/>
      <c r="M86" s="27"/>
      <c r="O86" s="28"/>
    </row>
    <row r="87" spans="1:1024" s="26" customFormat="1" ht="19.350000000000001" customHeight="1" x14ac:dyDescent="0.3">
      <c r="A87" s="104" t="s">
        <v>299</v>
      </c>
      <c r="B87" s="204"/>
      <c r="C87" s="205"/>
      <c r="D87" s="209" t="s">
        <v>345</v>
      </c>
      <c r="E87" s="210"/>
      <c r="F87" s="210"/>
      <c r="G87" s="210"/>
      <c r="H87" s="211"/>
      <c r="I87" s="85">
        <f>SUM(I88:I89)</f>
        <v>0</v>
      </c>
      <c r="L87" s="27"/>
      <c r="M87" s="27"/>
      <c r="O87" s="28"/>
    </row>
    <row r="88" spans="1:1024" s="26" customFormat="1" ht="19.350000000000001" customHeight="1" x14ac:dyDescent="0.3">
      <c r="A88" s="70" t="s">
        <v>300</v>
      </c>
      <c r="B88" s="42" t="s">
        <v>181</v>
      </c>
      <c r="C88" s="42" t="s">
        <v>11</v>
      </c>
      <c r="D88" s="71" t="s">
        <v>116</v>
      </c>
      <c r="E88" s="42" t="s">
        <v>12</v>
      </c>
      <c r="F88" s="44">
        <v>0</v>
      </c>
      <c r="G88" s="89">
        <v>3</v>
      </c>
      <c r="H88" s="45">
        <f>(G88*$I$2)+G88</f>
        <v>3.77</v>
      </c>
      <c r="I88" s="86">
        <f>F88*H88</f>
        <v>0</v>
      </c>
      <c r="L88" s="27"/>
      <c r="M88" s="27"/>
      <c r="O88" s="28"/>
    </row>
    <row r="89" spans="1:1024" s="26" customFormat="1" ht="19.350000000000001" customHeight="1" x14ac:dyDescent="0.3">
      <c r="A89" s="72" t="s">
        <v>301</v>
      </c>
      <c r="B89" s="37" t="s">
        <v>115</v>
      </c>
      <c r="C89" s="37" t="s">
        <v>11</v>
      </c>
      <c r="D89" s="73" t="s">
        <v>114</v>
      </c>
      <c r="E89" s="42" t="s">
        <v>12</v>
      </c>
      <c r="F89" s="44">
        <v>0</v>
      </c>
      <c r="G89" s="89">
        <v>0.15</v>
      </c>
      <c r="H89" s="45">
        <f>(G89*$I$2)+G89</f>
        <v>0.19</v>
      </c>
      <c r="I89" s="86">
        <f>F89*H89</f>
        <v>0</v>
      </c>
      <c r="L89" s="27"/>
      <c r="M89" s="27"/>
      <c r="O89" s="28"/>
    </row>
    <row r="90" spans="1:1024" s="26" customFormat="1" ht="8.65" customHeight="1" x14ac:dyDescent="0.3">
      <c r="A90" s="225"/>
      <c r="B90" s="226"/>
      <c r="C90" s="226"/>
      <c r="D90" s="226"/>
      <c r="E90" s="226"/>
      <c r="F90" s="226"/>
      <c r="G90" s="226"/>
      <c r="H90" s="226"/>
      <c r="I90" s="227"/>
      <c r="L90" s="27"/>
      <c r="M90" s="27"/>
    </row>
    <row r="91" spans="1:1024" s="26" customFormat="1" ht="31.5" customHeight="1" x14ac:dyDescent="0.3">
      <c r="A91" s="231" t="s">
        <v>33</v>
      </c>
      <c r="B91" s="231"/>
      <c r="C91" s="231"/>
      <c r="D91" s="231"/>
      <c r="E91" s="231"/>
      <c r="F91" s="231"/>
      <c r="G91" s="231"/>
      <c r="H91" s="231"/>
      <c r="I91" s="177">
        <f>I9+I16+I78+I86</f>
        <v>87363.8</v>
      </c>
      <c r="L91" s="27"/>
      <c r="M91" s="27"/>
      <c r="N91" s="74"/>
      <c r="P91" s="75"/>
    </row>
    <row r="92" spans="1:1024" ht="20.65" customHeight="1" x14ac:dyDescent="0.3">
      <c r="A92" s="221" t="s">
        <v>42</v>
      </c>
      <c r="B92" s="221"/>
      <c r="C92" s="221"/>
      <c r="D92" s="221"/>
      <c r="E92" s="221"/>
      <c r="F92" s="221"/>
      <c r="G92" s="221"/>
      <c r="H92" s="221"/>
      <c r="I92" s="221"/>
      <c r="K92" s="47"/>
    </row>
    <row r="93" spans="1:1024" ht="18.399999999999999" customHeight="1" x14ac:dyDescent="0.3">
      <c r="A93" s="212"/>
      <c r="B93" s="213"/>
      <c r="C93" s="213"/>
      <c r="D93" s="213"/>
      <c r="E93" s="213"/>
      <c r="F93" s="213"/>
      <c r="G93" s="213"/>
      <c r="H93" s="213"/>
      <c r="I93" s="214"/>
      <c r="J93" s="27"/>
      <c r="K93" s="76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  <c r="BY93" s="27"/>
      <c r="BZ93" s="27"/>
      <c r="CA93" s="27"/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  <c r="DB93" s="27"/>
      <c r="DC93" s="27"/>
      <c r="DD93" s="27"/>
      <c r="DE93" s="27"/>
      <c r="DF93" s="27"/>
      <c r="DG93" s="27"/>
      <c r="DH93" s="27"/>
      <c r="DI93" s="27"/>
      <c r="DJ93" s="27"/>
      <c r="DK93" s="27"/>
      <c r="DL93" s="27"/>
      <c r="DM93" s="27"/>
      <c r="DN93" s="27"/>
      <c r="DO93" s="27"/>
      <c r="DP93" s="27"/>
      <c r="DQ93" s="27"/>
      <c r="DR93" s="27"/>
      <c r="DS93" s="27"/>
      <c r="DT93" s="27"/>
      <c r="DU93" s="27"/>
      <c r="DV93" s="27"/>
      <c r="DW93" s="27"/>
      <c r="DX93" s="27"/>
      <c r="DY93" s="27"/>
      <c r="DZ93" s="27"/>
      <c r="EA93" s="27"/>
      <c r="EB93" s="27"/>
      <c r="EC93" s="27"/>
      <c r="ED93" s="27"/>
      <c r="EE93" s="27"/>
      <c r="EF93" s="27"/>
      <c r="EG93" s="27"/>
      <c r="EH93" s="27"/>
      <c r="EI93" s="27"/>
      <c r="EJ93" s="27"/>
      <c r="EK93" s="27"/>
      <c r="EL93" s="27"/>
      <c r="EM93" s="27"/>
      <c r="EN93" s="27"/>
      <c r="EO93" s="27"/>
      <c r="EP93" s="27"/>
      <c r="EQ93" s="27"/>
      <c r="ER93" s="27"/>
      <c r="ES93" s="27"/>
      <c r="ET93" s="27"/>
      <c r="EU93" s="27"/>
      <c r="EV93" s="27"/>
      <c r="EW93" s="27"/>
      <c r="EX93" s="27"/>
      <c r="EY93" s="27"/>
      <c r="EZ93" s="27"/>
      <c r="FA93" s="27"/>
      <c r="FB93" s="27"/>
      <c r="FC93" s="27"/>
      <c r="FD93" s="27"/>
      <c r="FE93" s="27"/>
      <c r="FF93" s="27"/>
      <c r="FG93" s="27"/>
      <c r="FH93" s="27"/>
      <c r="FI93" s="27"/>
      <c r="FJ93" s="27"/>
      <c r="FK93" s="27"/>
      <c r="FL93" s="27"/>
      <c r="FM93" s="27"/>
      <c r="FN93" s="27"/>
      <c r="FO93" s="27"/>
      <c r="FP93" s="27"/>
      <c r="FQ93" s="27"/>
      <c r="FR93" s="27"/>
      <c r="FS93" s="27"/>
      <c r="FT93" s="27"/>
      <c r="FU93" s="27"/>
      <c r="FV93" s="27"/>
      <c r="FW93" s="27"/>
      <c r="FX93" s="27"/>
      <c r="FY93" s="27"/>
      <c r="FZ93" s="27"/>
      <c r="GA93" s="27"/>
      <c r="GB93" s="27"/>
      <c r="GC93" s="27"/>
      <c r="GD93" s="27"/>
      <c r="GE93" s="27"/>
      <c r="GF93" s="27"/>
      <c r="GG93" s="27"/>
      <c r="GH93" s="27"/>
      <c r="GI93" s="27"/>
      <c r="GJ93" s="27"/>
      <c r="GK93" s="27"/>
      <c r="GL93" s="27"/>
      <c r="GM93" s="27"/>
      <c r="GN93" s="27"/>
      <c r="GO93" s="27"/>
      <c r="GP93" s="27"/>
      <c r="GQ93" s="27"/>
      <c r="GR93" s="27"/>
      <c r="GS93" s="27"/>
      <c r="GT93" s="27"/>
      <c r="GU93" s="27"/>
      <c r="GV93" s="27"/>
      <c r="GW93" s="27"/>
      <c r="GX93" s="27"/>
      <c r="GY93" s="27"/>
      <c r="GZ93" s="27"/>
      <c r="HA93" s="27"/>
      <c r="HB93" s="27"/>
      <c r="HC93" s="27"/>
      <c r="HD93" s="27"/>
      <c r="HE93" s="27"/>
      <c r="HF93" s="27"/>
      <c r="HG93" s="27"/>
      <c r="HH93" s="27"/>
      <c r="HI93" s="27"/>
      <c r="HJ93" s="27"/>
      <c r="HK93" s="27"/>
      <c r="HL93" s="27"/>
      <c r="HM93" s="27"/>
      <c r="HN93" s="27"/>
      <c r="HO93" s="27"/>
      <c r="HP93" s="27"/>
      <c r="HQ93" s="27"/>
      <c r="HR93" s="27"/>
      <c r="HS93" s="27"/>
      <c r="HT93" s="27"/>
      <c r="HU93" s="27"/>
      <c r="HV93" s="27"/>
      <c r="HW93" s="27"/>
      <c r="HX93" s="27"/>
      <c r="HY93" s="27"/>
      <c r="HZ93" s="27"/>
      <c r="IA93" s="27"/>
      <c r="IB93" s="27"/>
      <c r="IC93" s="27"/>
      <c r="ID93" s="27"/>
      <c r="IE93" s="27"/>
      <c r="IF93" s="27"/>
      <c r="IG93" s="27"/>
      <c r="IH93" s="27"/>
      <c r="II93" s="27"/>
      <c r="IJ93" s="27"/>
      <c r="IK93" s="27"/>
      <c r="IL93" s="27"/>
      <c r="IM93" s="27"/>
      <c r="IN93" s="27"/>
      <c r="IO93" s="27"/>
      <c r="IP93" s="27"/>
      <c r="IQ93" s="27"/>
      <c r="IR93" s="27"/>
      <c r="IS93" s="27"/>
      <c r="IT93" s="27"/>
      <c r="IU93" s="27"/>
      <c r="IV93" s="27"/>
      <c r="IW93" s="27"/>
      <c r="IX93" s="27"/>
      <c r="IY93" s="27"/>
      <c r="IZ93" s="27"/>
      <c r="JA93" s="27"/>
      <c r="JB93" s="27"/>
      <c r="JC93" s="27"/>
      <c r="JD93" s="27"/>
      <c r="JE93" s="27"/>
      <c r="JF93" s="27"/>
      <c r="JG93" s="27"/>
      <c r="JH93" s="27"/>
      <c r="JI93" s="27"/>
      <c r="JJ93" s="27"/>
      <c r="JK93" s="27"/>
      <c r="JL93" s="27"/>
      <c r="JM93" s="27"/>
      <c r="JN93" s="27"/>
      <c r="JO93" s="27"/>
      <c r="JP93" s="27"/>
      <c r="JQ93" s="27"/>
      <c r="JR93" s="27"/>
      <c r="JS93" s="27"/>
      <c r="JT93" s="27"/>
      <c r="JU93" s="27"/>
      <c r="JV93" s="27"/>
      <c r="JW93" s="27"/>
      <c r="JX93" s="27"/>
      <c r="JY93" s="27"/>
      <c r="JZ93" s="27"/>
      <c r="KA93" s="27"/>
      <c r="KB93" s="27"/>
      <c r="KC93" s="27"/>
      <c r="KD93" s="27"/>
      <c r="KE93" s="27"/>
      <c r="KF93" s="27"/>
      <c r="KG93" s="27"/>
      <c r="KH93" s="27"/>
      <c r="KI93" s="27"/>
      <c r="KJ93" s="27"/>
      <c r="KK93" s="27"/>
      <c r="KL93" s="27"/>
      <c r="KM93" s="27"/>
      <c r="KN93" s="27"/>
      <c r="KO93" s="27"/>
      <c r="KP93" s="27"/>
      <c r="KQ93" s="27"/>
      <c r="KR93" s="27"/>
      <c r="KS93" s="27"/>
      <c r="KT93" s="27"/>
      <c r="KU93" s="27"/>
      <c r="KV93" s="27"/>
      <c r="KW93" s="27"/>
      <c r="KX93" s="27"/>
      <c r="KY93" s="27"/>
      <c r="KZ93" s="27"/>
      <c r="LA93" s="27"/>
      <c r="LB93" s="27"/>
      <c r="LC93" s="27"/>
      <c r="LD93" s="27"/>
      <c r="LE93" s="27"/>
      <c r="LF93" s="27"/>
      <c r="LG93" s="27"/>
      <c r="LH93" s="27"/>
      <c r="LI93" s="27"/>
      <c r="LJ93" s="27"/>
      <c r="LK93" s="27"/>
      <c r="LL93" s="27"/>
      <c r="LM93" s="27"/>
      <c r="LN93" s="27"/>
      <c r="LO93" s="27"/>
      <c r="LP93" s="27"/>
      <c r="LQ93" s="27"/>
      <c r="LR93" s="27"/>
      <c r="LS93" s="27"/>
      <c r="LT93" s="27"/>
      <c r="LU93" s="27"/>
      <c r="LV93" s="27"/>
      <c r="LW93" s="27"/>
      <c r="LX93" s="27"/>
      <c r="LY93" s="27"/>
      <c r="LZ93" s="27"/>
      <c r="MA93" s="27"/>
      <c r="MB93" s="27"/>
      <c r="MC93" s="27"/>
      <c r="MD93" s="27"/>
      <c r="ME93" s="27"/>
      <c r="MF93" s="27"/>
      <c r="MG93" s="27"/>
      <c r="MH93" s="27"/>
      <c r="MI93" s="27"/>
      <c r="MJ93" s="27"/>
      <c r="MK93" s="27"/>
      <c r="ML93" s="27"/>
      <c r="MM93" s="27"/>
      <c r="MN93" s="27"/>
      <c r="MO93" s="27"/>
      <c r="MP93" s="27"/>
      <c r="MQ93" s="27"/>
      <c r="MR93" s="27"/>
      <c r="MS93" s="27"/>
      <c r="MT93" s="27"/>
      <c r="MU93" s="27"/>
      <c r="MV93" s="27"/>
      <c r="MW93" s="27"/>
      <c r="MX93" s="27"/>
      <c r="MY93" s="27"/>
      <c r="MZ93" s="27"/>
      <c r="NA93" s="27"/>
      <c r="NB93" s="27"/>
      <c r="NC93" s="27"/>
      <c r="ND93" s="27"/>
      <c r="NE93" s="27"/>
      <c r="NF93" s="27"/>
      <c r="NG93" s="27"/>
      <c r="NH93" s="27"/>
      <c r="NI93" s="27"/>
      <c r="NJ93" s="27"/>
      <c r="NK93" s="27"/>
      <c r="NL93" s="27"/>
      <c r="NM93" s="27"/>
      <c r="NN93" s="27"/>
      <c r="NO93" s="27"/>
      <c r="NP93" s="27"/>
      <c r="NQ93" s="27"/>
      <c r="NR93" s="27"/>
      <c r="NS93" s="27"/>
      <c r="NT93" s="27"/>
      <c r="NU93" s="27"/>
      <c r="NV93" s="27"/>
      <c r="NW93" s="27"/>
      <c r="NX93" s="27"/>
      <c r="NY93" s="27"/>
      <c r="NZ93" s="27"/>
      <c r="OA93" s="27"/>
      <c r="OB93" s="27"/>
      <c r="OC93" s="27"/>
      <c r="OD93" s="27"/>
      <c r="OE93" s="27"/>
      <c r="OF93" s="27"/>
      <c r="OG93" s="27"/>
      <c r="OH93" s="27"/>
      <c r="OI93" s="27"/>
      <c r="OJ93" s="27"/>
      <c r="OK93" s="27"/>
      <c r="OL93" s="27"/>
      <c r="OM93" s="27"/>
      <c r="ON93" s="27"/>
      <c r="OO93" s="27"/>
      <c r="OP93" s="27"/>
      <c r="OQ93" s="27"/>
      <c r="OR93" s="27"/>
      <c r="OS93" s="27"/>
      <c r="OT93" s="27"/>
      <c r="OU93" s="27"/>
      <c r="OV93" s="27"/>
      <c r="OW93" s="27"/>
      <c r="OX93" s="27"/>
      <c r="OY93" s="27"/>
      <c r="OZ93" s="27"/>
      <c r="PA93" s="27"/>
      <c r="PB93" s="27"/>
      <c r="PC93" s="27"/>
      <c r="PD93" s="27"/>
      <c r="PE93" s="27"/>
      <c r="PF93" s="27"/>
      <c r="PG93" s="27"/>
      <c r="PH93" s="27"/>
      <c r="PI93" s="27"/>
      <c r="PJ93" s="27"/>
      <c r="PK93" s="27"/>
      <c r="PL93" s="27"/>
      <c r="PM93" s="27"/>
      <c r="PN93" s="27"/>
      <c r="PO93" s="27"/>
      <c r="PP93" s="27"/>
      <c r="PQ93" s="27"/>
      <c r="PR93" s="27"/>
      <c r="PS93" s="27"/>
      <c r="PT93" s="27"/>
      <c r="PU93" s="27"/>
      <c r="PV93" s="27"/>
      <c r="PW93" s="27"/>
      <c r="PX93" s="27"/>
      <c r="PY93" s="27"/>
      <c r="PZ93" s="27"/>
      <c r="QA93" s="27"/>
      <c r="QB93" s="27"/>
      <c r="QC93" s="27"/>
      <c r="QD93" s="27"/>
      <c r="QE93" s="27"/>
      <c r="QF93" s="27"/>
      <c r="QG93" s="27"/>
      <c r="QH93" s="27"/>
      <c r="QI93" s="27"/>
      <c r="QJ93" s="27"/>
      <c r="QK93" s="27"/>
      <c r="QL93" s="27"/>
      <c r="QM93" s="27"/>
      <c r="QN93" s="27"/>
      <c r="QO93" s="27"/>
      <c r="QP93" s="27"/>
      <c r="QQ93" s="27"/>
      <c r="QR93" s="27"/>
      <c r="QS93" s="27"/>
      <c r="QT93" s="27"/>
      <c r="QU93" s="27"/>
      <c r="QV93" s="27"/>
      <c r="QW93" s="27"/>
      <c r="QX93" s="27"/>
      <c r="QY93" s="27"/>
      <c r="QZ93" s="27"/>
      <c r="RA93" s="27"/>
      <c r="RB93" s="27"/>
      <c r="RC93" s="27"/>
      <c r="RD93" s="27"/>
      <c r="RE93" s="27"/>
      <c r="RF93" s="27"/>
      <c r="RG93" s="27"/>
      <c r="RH93" s="27"/>
      <c r="RI93" s="27"/>
      <c r="RJ93" s="27"/>
      <c r="RK93" s="27"/>
      <c r="RL93" s="27"/>
      <c r="RM93" s="27"/>
      <c r="RN93" s="27"/>
      <c r="RO93" s="27"/>
      <c r="RP93" s="27"/>
      <c r="RQ93" s="27"/>
      <c r="RR93" s="27"/>
      <c r="RS93" s="27"/>
      <c r="RT93" s="27"/>
      <c r="RU93" s="27"/>
      <c r="RV93" s="27"/>
      <c r="RW93" s="27"/>
      <c r="RX93" s="27"/>
      <c r="RY93" s="27"/>
      <c r="RZ93" s="27"/>
      <c r="SA93" s="27"/>
      <c r="SB93" s="27"/>
      <c r="SC93" s="27"/>
      <c r="SD93" s="27"/>
      <c r="SE93" s="27"/>
      <c r="SF93" s="27"/>
      <c r="SG93" s="27"/>
      <c r="SH93" s="27"/>
      <c r="SI93" s="27"/>
      <c r="SJ93" s="27"/>
      <c r="SK93" s="27"/>
      <c r="SL93" s="27"/>
      <c r="SM93" s="27"/>
      <c r="SN93" s="27"/>
      <c r="SO93" s="27"/>
      <c r="SP93" s="27"/>
      <c r="SQ93" s="27"/>
      <c r="SR93" s="27"/>
      <c r="SS93" s="27"/>
      <c r="ST93" s="27"/>
      <c r="SU93" s="27"/>
      <c r="SV93" s="27"/>
      <c r="SW93" s="27"/>
      <c r="SX93" s="27"/>
      <c r="SY93" s="27"/>
      <c r="SZ93" s="27"/>
      <c r="TA93" s="27"/>
      <c r="TB93" s="27"/>
      <c r="TC93" s="27"/>
      <c r="TD93" s="27"/>
      <c r="TE93" s="27"/>
      <c r="TF93" s="27"/>
      <c r="TG93" s="27"/>
      <c r="TH93" s="27"/>
      <c r="TI93" s="27"/>
      <c r="TJ93" s="27"/>
      <c r="TK93" s="27"/>
      <c r="TL93" s="27"/>
      <c r="TM93" s="27"/>
      <c r="TN93" s="27"/>
      <c r="TO93" s="27"/>
      <c r="TP93" s="27"/>
      <c r="TQ93" s="27"/>
      <c r="TR93" s="27"/>
      <c r="TS93" s="27"/>
      <c r="TT93" s="27"/>
      <c r="TU93" s="27"/>
      <c r="TV93" s="27"/>
      <c r="TW93" s="27"/>
      <c r="TX93" s="27"/>
      <c r="TY93" s="27"/>
      <c r="TZ93" s="27"/>
      <c r="UA93" s="27"/>
      <c r="UB93" s="27"/>
      <c r="UC93" s="27"/>
      <c r="UD93" s="27"/>
      <c r="UE93" s="27"/>
      <c r="UF93" s="27"/>
      <c r="UG93" s="27"/>
      <c r="UH93" s="27"/>
      <c r="UI93" s="27"/>
      <c r="UJ93" s="27"/>
      <c r="UK93" s="27"/>
      <c r="UL93" s="27"/>
      <c r="UM93" s="27"/>
      <c r="UN93" s="27"/>
      <c r="UO93" s="27"/>
      <c r="UP93" s="27"/>
      <c r="UQ93" s="27"/>
      <c r="UR93" s="27"/>
      <c r="US93" s="27"/>
      <c r="UT93" s="27"/>
      <c r="UU93" s="27"/>
      <c r="UV93" s="27"/>
      <c r="UW93" s="27"/>
      <c r="UX93" s="27"/>
      <c r="UY93" s="27"/>
      <c r="UZ93" s="27"/>
      <c r="VA93" s="27"/>
      <c r="VB93" s="27"/>
      <c r="VC93" s="27"/>
      <c r="VD93" s="27"/>
      <c r="VE93" s="27"/>
      <c r="VF93" s="27"/>
      <c r="VG93" s="27"/>
      <c r="VH93" s="27"/>
      <c r="VI93" s="27"/>
      <c r="VJ93" s="27"/>
      <c r="VK93" s="27"/>
      <c r="VL93" s="27"/>
      <c r="VM93" s="27"/>
      <c r="VN93" s="27"/>
      <c r="VO93" s="27"/>
      <c r="VP93" s="27"/>
      <c r="VQ93" s="27"/>
      <c r="VR93" s="27"/>
      <c r="VS93" s="27"/>
      <c r="VT93" s="27"/>
      <c r="VU93" s="27"/>
      <c r="VV93" s="27"/>
      <c r="VW93" s="27"/>
      <c r="VX93" s="27"/>
      <c r="VY93" s="27"/>
      <c r="VZ93" s="27"/>
      <c r="WA93" s="27"/>
      <c r="WB93" s="27"/>
      <c r="WC93" s="27"/>
      <c r="WD93" s="27"/>
      <c r="WE93" s="27"/>
      <c r="WF93" s="27"/>
      <c r="WG93" s="27"/>
      <c r="WH93" s="27"/>
      <c r="WI93" s="27"/>
      <c r="WJ93" s="27"/>
      <c r="WK93" s="27"/>
      <c r="WL93" s="27"/>
      <c r="WM93" s="27"/>
      <c r="WN93" s="27"/>
      <c r="WO93" s="27"/>
      <c r="WP93" s="27"/>
      <c r="WQ93" s="27"/>
      <c r="WR93" s="27"/>
      <c r="WS93" s="27"/>
      <c r="WT93" s="27"/>
      <c r="WU93" s="27"/>
      <c r="WV93" s="27"/>
      <c r="WW93" s="27"/>
      <c r="WX93" s="27"/>
      <c r="WY93" s="27"/>
      <c r="WZ93" s="27"/>
      <c r="XA93" s="27"/>
      <c r="XB93" s="27"/>
      <c r="XC93" s="27"/>
      <c r="XD93" s="27"/>
      <c r="XE93" s="27"/>
      <c r="XF93" s="27"/>
      <c r="XG93" s="27"/>
      <c r="XH93" s="27"/>
      <c r="XI93" s="27"/>
      <c r="XJ93" s="27"/>
      <c r="XK93" s="27"/>
      <c r="XL93" s="27"/>
      <c r="XM93" s="27"/>
      <c r="XN93" s="27"/>
      <c r="XO93" s="27"/>
      <c r="XP93" s="27"/>
      <c r="XQ93" s="27"/>
      <c r="XR93" s="27"/>
      <c r="XS93" s="27"/>
      <c r="XT93" s="27"/>
      <c r="XU93" s="27"/>
      <c r="XV93" s="27"/>
      <c r="XW93" s="27"/>
      <c r="XX93" s="27"/>
      <c r="XY93" s="27"/>
      <c r="XZ93" s="27"/>
      <c r="YA93" s="27"/>
      <c r="YB93" s="27"/>
      <c r="YC93" s="27"/>
      <c r="YD93" s="27"/>
      <c r="YE93" s="27"/>
      <c r="YF93" s="27"/>
      <c r="YG93" s="27"/>
      <c r="YH93" s="27"/>
      <c r="YI93" s="27"/>
      <c r="YJ93" s="27"/>
      <c r="YK93" s="27"/>
      <c r="YL93" s="27"/>
      <c r="YM93" s="27"/>
      <c r="YN93" s="27"/>
      <c r="YO93" s="27"/>
      <c r="YP93" s="27"/>
      <c r="YQ93" s="27"/>
      <c r="YR93" s="27"/>
      <c r="YS93" s="27"/>
      <c r="YT93" s="27"/>
      <c r="YU93" s="27"/>
      <c r="YV93" s="27"/>
      <c r="YW93" s="27"/>
      <c r="YX93" s="27"/>
      <c r="YY93" s="27"/>
      <c r="YZ93" s="27"/>
      <c r="ZA93" s="27"/>
      <c r="ZB93" s="27"/>
      <c r="ZC93" s="27"/>
      <c r="ZD93" s="27"/>
      <c r="ZE93" s="27"/>
      <c r="ZF93" s="27"/>
      <c r="ZG93" s="27"/>
      <c r="ZH93" s="27"/>
      <c r="ZI93" s="27"/>
      <c r="ZJ93" s="27"/>
      <c r="ZK93" s="27"/>
      <c r="ZL93" s="27"/>
      <c r="ZM93" s="27"/>
      <c r="ZN93" s="27"/>
      <c r="ZO93" s="27"/>
      <c r="ZP93" s="27"/>
      <c r="ZQ93" s="27"/>
      <c r="ZR93" s="27"/>
      <c r="ZS93" s="27"/>
      <c r="ZT93" s="27"/>
      <c r="ZU93" s="27"/>
      <c r="ZV93" s="27"/>
      <c r="ZW93" s="27"/>
      <c r="ZX93" s="27"/>
      <c r="ZY93" s="27"/>
      <c r="ZZ93" s="27"/>
      <c r="AAA93" s="27"/>
      <c r="AAB93" s="27"/>
      <c r="AAC93" s="27"/>
      <c r="AAD93" s="27"/>
      <c r="AAE93" s="27"/>
      <c r="AAF93" s="27"/>
      <c r="AAG93" s="27"/>
      <c r="AAH93" s="27"/>
      <c r="AAI93" s="27"/>
      <c r="AAJ93" s="27"/>
      <c r="AAK93" s="27"/>
      <c r="AAL93" s="27"/>
      <c r="AAM93" s="27"/>
      <c r="AAN93" s="27"/>
      <c r="AAO93" s="27"/>
      <c r="AAP93" s="27"/>
      <c r="AAQ93" s="27"/>
      <c r="AAR93" s="27"/>
      <c r="AAS93" s="27"/>
      <c r="AAT93" s="27"/>
      <c r="AAU93" s="27"/>
      <c r="AAV93" s="27"/>
      <c r="AAW93" s="27"/>
      <c r="AAX93" s="27"/>
      <c r="AAY93" s="27"/>
      <c r="AAZ93" s="27"/>
      <c r="ABA93" s="27"/>
      <c r="ABB93" s="27"/>
      <c r="ABC93" s="27"/>
      <c r="ABD93" s="27"/>
      <c r="ABE93" s="27"/>
      <c r="ABF93" s="27"/>
      <c r="ABG93" s="27"/>
      <c r="ABH93" s="27"/>
      <c r="ABI93" s="27"/>
      <c r="ABJ93" s="27"/>
      <c r="ABK93" s="27"/>
      <c r="ABL93" s="27"/>
      <c r="ABM93" s="27"/>
      <c r="ABN93" s="27"/>
      <c r="ABO93" s="27"/>
      <c r="ABP93" s="27"/>
      <c r="ABQ93" s="27"/>
      <c r="ABR93" s="27"/>
      <c r="ABS93" s="27"/>
      <c r="ABT93" s="27"/>
      <c r="ABU93" s="27"/>
      <c r="ABV93" s="27"/>
      <c r="ABW93" s="27"/>
      <c r="ABX93" s="27"/>
      <c r="ABY93" s="27"/>
      <c r="ABZ93" s="27"/>
      <c r="ACA93" s="27"/>
      <c r="ACB93" s="27"/>
      <c r="ACC93" s="27"/>
      <c r="ACD93" s="27"/>
      <c r="ACE93" s="27"/>
      <c r="ACF93" s="27"/>
      <c r="ACG93" s="27"/>
      <c r="ACH93" s="27"/>
      <c r="ACI93" s="27"/>
      <c r="ACJ93" s="27"/>
      <c r="ACK93" s="27"/>
      <c r="ACL93" s="27"/>
      <c r="ACM93" s="27"/>
      <c r="ACN93" s="27"/>
      <c r="ACO93" s="27"/>
      <c r="ACP93" s="27"/>
      <c r="ACQ93" s="27"/>
      <c r="ACR93" s="27"/>
      <c r="ACS93" s="27"/>
      <c r="ACT93" s="27"/>
      <c r="ACU93" s="27"/>
      <c r="ACV93" s="27"/>
      <c r="ACW93" s="27"/>
      <c r="ACX93" s="27"/>
      <c r="ACY93" s="27"/>
      <c r="ACZ93" s="27"/>
      <c r="ADA93" s="27"/>
      <c r="ADB93" s="27"/>
      <c r="ADC93" s="27"/>
      <c r="ADD93" s="27"/>
      <c r="ADE93" s="27"/>
      <c r="ADF93" s="27"/>
      <c r="ADG93" s="27"/>
      <c r="ADH93" s="27"/>
      <c r="ADI93" s="27"/>
      <c r="ADJ93" s="27"/>
      <c r="ADK93" s="27"/>
      <c r="ADL93" s="27"/>
      <c r="ADM93" s="27"/>
      <c r="ADN93" s="27"/>
      <c r="ADO93" s="27"/>
      <c r="ADP93" s="27"/>
      <c r="ADQ93" s="27"/>
      <c r="ADR93" s="27"/>
      <c r="ADS93" s="27"/>
      <c r="ADT93" s="27"/>
      <c r="ADU93" s="27"/>
      <c r="ADV93" s="27"/>
      <c r="ADW93" s="27"/>
      <c r="ADX93" s="27"/>
      <c r="ADY93" s="27"/>
      <c r="ADZ93" s="27"/>
      <c r="AEA93" s="27"/>
      <c r="AEB93" s="27"/>
      <c r="AEC93" s="27"/>
      <c r="AED93" s="27"/>
      <c r="AEE93" s="27"/>
      <c r="AEF93" s="27"/>
      <c r="AEG93" s="27"/>
      <c r="AEH93" s="27"/>
      <c r="AEI93" s="27"/>
      <c r="AEJ93" s="27"/>
      <c r="AEK93" s="27"/>
      <c r="AEL93" s="27"/>
      <c r="AEM93" s="27"/>
      <c r="AEN93" s="27"/>
      <c r="AEO93" s="27"/>
      <c r="AEP93" s="27"/>
      <c r="AEQ93" s="27"/>
      <c r="AER93" s="27"/>
      <c r="AES93" s="27"/>
      <c r="AET93" s="27"/>
      <c r="AEU93" s="27"/>
      <c r="AEV93" s="27"/>
      <c r="AEW93" s="27"/>
      <c r="AEX93" s="27"/>
      <c r="AEY93" s="27"/>
      <c r="AEZ93" s="27"/>
      <c r="AFA93" s="27"/>
      <c r="AFB93" s="27"/>
      <c r="AFC93" s="27"/>
      <c r="AFD93" s="27"/>
      <c r="AFE93" s="27"/>
      <c r="AFF93" s="27"/>
      <c r="AFG93" s="27"/>
      <c r="AFH93" s="27"/>
      <c r="AFI93" s="27"/>
      <c r="AFJ93" s="27"/>
      <c r="AFK93" s="27"/>
      <c r="AFL93" s="27"/>
      <c r="AFM93" s="27"/>
      <c r="AFN93" s="27"/>
      <c r="AFO93" s="27"/>
      <c r="AFP93" s="27"/>
      <c r="AFQ93" s="27"/>
      <c r="AFR93" s="27"/>
      <c r="AFS93" s="27"/>
      <c r="AFT93" s="27"/>
      <c r="AFU93" s="27"/>
      <c r="AFV93" s="27"/>
      <c r="AFW93" s="27"/>
      <c r="AFX93" s="27"/>
      <c r="AFY93" s="27"/>
      <c r="AFZ93" s="27"/>
      <c r="AGA93" s="27"/>
      <c r="AGB93" s="27"/>
      <c r="AGC93" s="27"/>
      <c r="AGD93" s="27"/>
      <c r="AGE93" s="27"/>
      <c r="AGF93" s="27"/>
      <c r="AGG93" s="27"/>
      <c r="AGH93" s="27"/>
      <c r="AGI93" s="27"/>
      <c r="AGJ93" s="27"/>
      <c r="AGK93" s="27"/>
      <c r="AGL93" s="27"/>
      <c r="AGM93" s="27"/>
      <c r="AGN93" s="27"/>
      <c r="AGO93" s="27"/>
      <c r="AGP93" s="27"/>
      <c r="AGQ93" s="27"/>
      <c r="AGR93" s="27"/>
      <c r="AGS93" s="27"/>
      <c r="AGT93" s="27"/>
      <c r="AGU93" s="27"/>
      <c r="AGV93" s="27"/>
      <c r="AGW93" s="27"/>
      <c r="AGX93" s="27"/>
      <c r="AGY93" s="27"/>
      <c r="AGZ93" s="27"/>
      <c r="AHA93" s="27"/>
      <c r="AHB93" s="27"/>
      <c r="AHC93" s="27"/>
      <c r="AHD93" s="27"/>
      <c r="AHE93" s="27"/>
      <c r="AHF93" s="27"/>
      <c r="AHG93" s="27"/>
      <c r="AHH93" s="27"/>
      <c r="AHI93" s="27"/>
      <c r="AHJ93" s="27"/>
      <c r="AHK93" s="27"/>
      <c r="AHL93" s="27"/>
      <c r="AHM93" s="27"/>
      <c r="AHN93" s="27"/>
      <c r="AHO93" s="27"/>
      <c r="AHP93" s="27"/>
      <c r="AHQ93" s="27"/>
      <c r="AHR93" s="27"/>
      <c r="AHS93" s="27"/>
      <c r="AHT93" s="27"/>
      <c r="AHU93" s="27"/>
      <c r="AHV93" s="27"/>
      <c r="AHW93" s="27"/>
      <c r="AHX93" s="27"/>
      <c r="AHY93" s="27"/>
      <c r="AHZ93" s="27"/>
      <c r="AIA93" s="27"/>
      <c r="AIB93" s="27"/>
      <c r="AIC93" s="27"/>
      <c r="AID93" s="27"/>
      <c r="AIE93" s="27"/>
      <c r="AIF93" s="27"/>
      <c r="AIG93" s="27"/>
      <c r="AIH93" s="27"/>
      <c r="AII93" s="27"/>
      <c r="AIJ93" s="27"/>
      <c r="AIK93" s="27"/>
      <c r="AIL93" s="27"/>
      <c r="AIM93" s="27"/>
      <c r="AIN93" s="27"/>
      <c r="AIO93" s="27"/>
      <c r="AIP93" s="27"/>
      <c r="AIQ93" s="27"/>
      <c r="AIR93" s="27"/>
      <c r="AIS93" s="27"/>
      <c r="AIT93" s="27"/>
      <c r="AIU93" s="27"/>
      <c r="AIV93" s="27"/>
      <c r="AIW93" s="27"/>
      <c r="AIX93" s="27"/>
      <c r="AIY93" s="27"/>
      <c r="AIZ93" s="27"/>
      <c r="AJA93" s="27"/>
      <c r="AJB93" s="27"/>
      <c r="AJC93" s="27"/>
      <c r="AJD93" s="27"/>
      <c r="AJE93" s="27"/>
      <c r="AJF93" s="27"/>
      <c r="AJG93" s="27"/>
      <c r="AJH93" s="27"/>
      <c r="AJI93" s="27"/>
      <c r="AJJ93" s="27"/>
      <c r="AJK93" s="27"/>
      <c r="AJL93" s="27"/>
      <c r="AJM93" s="27"/>
      <c r="AJN93" s="27"/>
      <c r="AJO93" s="27"/>
      <c r="AJP93" s="27"/>
      <c r="AJQ93" s="27"/>
      <c r="AJR93" s="27"/>
      <c r="AJS93" s="27"/>
      <c r="AJT93" s="27"/>
      <c r="AJU93" s="27"/>
      <c r="AJV93" s="27"/>
      <c r="AJW93" s="27"/>
      <c r="AJX93" s="27"/>
      <c r="AJY93" s="27"/>
      <c r="AJZ93" s="27"/>
      <c r="AKA93" s="27"/>
      <c r="AKB93" s="27"/>
      <c r="AKC93" s="27"/>
      <c r="AKD93" s="27"/>
      <c r="AKE93" s="27"/>
      <c r="AKF93" s="27"/>
      <c r="AKG93" s="27"/>
      <c r="AKH93" s="27"/>
      <c r="AKI93" s="27"/>
      <c r="AKJ93" s="27"/>
      <c r="AKK93" s="27"/>
      <c r="AKL93" s="27"/>
      <c r="AKM93" s="27"/>
      <c r="AKN93" s="27"/>
      <c r="AKO93" s="27"/>
      <c r="AKP93" s="27"/>
      <c r="AKQ93" s="27"/>
      <c r="AKR93" s="27"/>
      <c r="AKS93" s="27"/>
      <c r="AKT93" s="27"/>
      <c r="AKU93" s="27"/>
      <c r="AKV93" s="27"/>
      <c r="AKW93" s="27"/>
      <c r="AKX93" s="27"/>
      <c r="AKY93" s="27"/>
      <c r="AKZ93" s="27"/>
      <c r="ALA93" s="27"/>
      <c r="ALB93" s="27"/>
      <c r="ALC93" s="27"/>
      <c r="ALD93" s="27"/>
      <c r="ALE93" s="27"/>
      <c r="ALF93" s="27"/>
      <c r="ALG93" s="27"/>
      <c r="ALH93" s="27"/>
      <c r="ALI93" s="27"/>
      <c r="ALJ93" s="27"/>
      <c r="ALK93" s="27"/>
      <c r="ALL93" s="27"/>
      <c r="ALM93" s="27"/>
      <c r="ALN93" s="27"/>
      <c r="ALO93" s="27"/>
      <c r="ALP93" s="27"/>
      <c r="ALQ93" s="27"/>
      <c r="ALR93" s="27"/>
      <c r="ALS93" s="27"/>
      <c r="ALT93" s="27"/>
      <c r="ALU93" s="27"/>
      <c r="ALV93" s="27"/>
      <c r="ALW93" s="27"/>
      <c r="ALX93" s="27"/>
      <c r="ALY93" s="27"/>
      <c r="ALZ93" s="27"/>
      <c r="AMA93" s="27"/>
      <c r="AMB93" s="27"/>
      <c r="AMC93" s="27"/>
      <c r="AMD93" s="27"/>
      <c r="AME93" s="27"/>
      <c r="AMF93" s="27"/>
      <c r="AMG93" s="27"/>
      <c r="AMH93" s="27"/>
      <c r="AMI93" s="27"/>
      <c r="AMJ93" s="27"/>
    </row>
    <row r="94" spans="1:1024" ht="9" customHeight="1" x14ac:dyDescent="0.3">
      <c r="A94" s="215" t="s">
        <v>337</v>
      </c>
      <c r="B94" s="216"/>
      <c r="C94" s="216"/>
      <c r="D94" s="216"/>
      <c r="E94" s="216"/>
      <c r="F94" s="216"/>
      <c r="G94" s="216"/>
      <c r="H94" s="216"/>
      <c r="I94" s="217"/>
    </row>
    <row r="95" spans="1:1024" ht="9" customHeight="1" x14ac:dyDescent="0.3">
      <c r="A95" s="215" t="s">
        <v>338</v>
      </c>
      <c r="B95" s="216"/>
      <c r="C95" s="216"/>
      <c r="D95" s="216"/>
      <c r="E95" s="216"/>
      <c r="F95" s="216"/>
      <c r="G95" s="216"/>
      <c r="H95" s="216"/>
      <c r="I95" s="217"/>
    </row>
    <row r="96" spans="1:1024" ht="9" customHeight="1" x14ac:dyDescent="0.3">
      <c r="A96" s="218" t="s">
        <v>339</v>
      </c>
      <c r="B96" s="219"/>
      <c r="C96" s="219"/>
      <c r="D96" s="219"/>
      <c r="E96" s="219"/>
      <c r="F96" s="219"/>
      <c r="G96" s="219"/>
      <c r="H96" s="219"/>
      <c r="I96" s="220"/>
    </row>
  </sheetData>
  <mergeCells count="34">
    <mergeCell ref="A93:I93"/>
    <mergeCell ref="A94:I94"/>
    <mergeCell ref="A95:I95"/>
    <mergeCell ref="A96:I96"/>
    <mergeCell ref="A6:I6"/>
    <mergeCell ref="A92:I92"/>
    <mergeCell ref="A61:I61"/>
    <mergeCell ref="A69:I69"/>
    <mergeCell ref="A7:I7"/>
    <mergeCell ref="A15:I15"/>
    <mergeCell ref="A85:I85"/>
    <mergeCell ref="A90:I90"/>
    <mergeCell ref="A91:H91"/>
    <mergeCell ref="D10:H10"/>
    <mergeCell ref="D17:H17"/>
    <mergeCell ref="D62:H62"/>
    <mergeCell ref="B10:C10"/>
    <mergeCell ref="B17:C17"/>
    <mergeCell ref="B79:C79"/>
    <mergeCell ref="B87:C87"/>
    <mergeCell ref="A9:H9"/>
    <mergeCell ref="A16:H16"/>
    <mergeCell ref="A78:H78"/>
    <mergeCell ref="A86:H86"/>
    <mergeCell ref="D70:H70"/>
    <mergeCell ref="D79:H79"/>
    <mergeCell ref="D87:H87"/>
    <mergeCell ref="A5:I5"/>
    <mergeCell ref="F3:G3"/>
    <mergeCell ref="I2:I4"/>
    <mergeCell ref="A1:E4"/>
    <mergeCell ref="F4:G4"/>
    <mergeCell ref="F1:G1"/>
    <mergeCell ref="F2:G2"/>
  </mergeCells>
  <phoneticPr fontId="1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9" firstPageNumber="0" fitToHeight="3" orientation="landscape" horizontalDpi="300" verticalDpi="300" r:id="rId1"/>
  <rowBreaks count="1" manualBreakCount="1">
    <brk id="6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S50"/>
  <sheetViews>
    <sheetView view="pageBreakPreview" zoomScale="60" zoomScaleNormal="70" workbookViewId="0">
      <selection activeCell="C2" sqref="C2:C4"/>
    </sheetView>
  </sheetViews>
  <sheetFormatPr defaultRowHeight="15" x14ac:dyDescent="0.25"/>
  <cols>
    <col min="1" max="1" width="3.5703125" customWidth="1"/>
    <col min="2" max="2" width="8.140625" customWidth="1"/>
    <col min="3" max="3" width="20.5703125" customWidth="1"/>
    <col min="4" max="4" width="12.5703125" customWidth="1"/>
    <col min="5" max="5" width="14" customWidth="1"/>
    <col min="6" max="6" width="14.28515625" style="23" customWidth="1"/>
    <col min="7" max="7" width="13.28515625" style="22" customWidth="1"/>
    <col min="8" max="8" width="14.28515625" style="22" customWidth="1"/>
    <col min="9" max="9" width="14" customWidth="1"/>
    <col min="10" max="10" width="17.140625" customWidth="1"/>
    <col min="11" max="11" width="16.7109375" customWidth="1"/>
    <col min="12" max="12" width="12.140625" customWidth="1"/>
    <col min="13" max="13" width="14.5703125" customWidth="1"/>
    <col min="14" max="14" width="14.28515625" customWidth="1"/>
    <col min="15" max="16" width="16.28515625" customWidth="1"/>
    <col min="17" max="17" width="18.7109375" customWidth="1"/>
    <col min="18" max="18" width="15.7109375" customWidth="1"/>
    <col min="19" max="19" width="16.28515625" style="22" customWidth="1"/>
    <col min="20" max="20" width="14.7109375" style="22" customWidth="1"/>
    <col min="21" max="21" width="15.85546875" customWidth="1"/>
    <col min="22" max="22" width="16.28515625" customWidth="1"/>
    <col min="23" max="24" width="14.28515625" style="23" customWidth="1"/>
    <col min="25" max="25" width="16.7109375" customWidth="1"/>
    <col min="26" max="26" width="13.140625" customWidth="1"/>
    <col min="27" max="27" width="15.85546875" customWidth="1"/>
    <col min="28" max="28" width="18.5703125" customWidth="1"/>
    <col min="29" max="29" width="15.85546875" customWidth="1"/>
    <col min="30" max="30" width="21.85546875" customWidth="1"/>
    <col min="31" max="31" width="15.7109375" customWidth="1"/>
    <col min="32" max="32" width="16.140625" customWidth="1"/>
    <col min="33" max="33" width="18" customWidth="1"/>
    <col min="34" max="34" width="21" customWidth="1"/>
    <col min="35" max="36" width="17.5703125" customWidth="1"/>
    <col min="37" max="37" width="19.7109375" customWidth="1"/>
    <col min="38" max="38" width="19" customWidth="1"/>
    <col min="39" max="39" width="20.140625" customWidth="1"/>
    <col min="40" max="40" width="18.28515625" customWidth="1"/>
    <col min="41" max="58" width="14.28515625" customWidth="1"/>
    <col min="59" max="64" width="16.28515625" customWidth="1"/>
    <col min="65" max="65" width="12.85546875" customWidth="1"/>
    <col min="66" max="66" width="12.5703125" customWidth="1"/>
    <col min="67" max="67" width="21.28515625" customWidth="1"/>
    <col min="68" max="68" width="17.28515625" customWidth="1"/>
    <col min="69" max="69" width="19.85546875" customWidth="1"/>
    <col min="70" max="71" width="14.28515625" style="22" customWidth="1"/>
    <col min="72" max="80" width="14.28515625" customWidth="1"/>
  </cols>
  <sheetData>
    <row r="2" spans="2:71" ht="15" customHeight="1" x14ac:dyDescent="0.25">
      <c r="B2" s="236" t="s">
        <v>154</v>
      </c>
      <c r="C2" s="236" t="s">
        <v>117</v>
      </c>
      <c r="D2" s="237" t="s">
        <v>118</v>
      </c>
      <c r="E2" s="235" t="s">
        <v>263</v>
      </c>
      <c r="F2" s="235" t="s">
        <v>174</v>
      </c>
      <c r="G2" s="235" t="s">
        <v>175</v>
      </c>
      <c r="H2" s="235" t="s">
        <v>176</v>
      </c>
      <c r="I2" s="235" t="s">
        <v>155</v>
      </c>
      <c r="J2" s="235" t="s">
        <v>206</v>
      </c>
      <c r="K2" s="235" t="s">
        <v>207</v>
      </c>
      <c r="L2" s="235" t="s">
        <v>208</v>
      </c>
      <c r="M2" s="235" t="s">
        <v>209</v>
      </c>
      <c r="N2" s="235" t="s">
        <v>210</v>
      </c>
      <c r="O2" s="235" t="s">
        <v>211</v>
      </c>
      <c r="P2" s="235" t="s">
        <v>303</v>
      </c>
      <c r="Q2" s="235" t="s">
        <v>156</v>
      </c>
      <c r="R2" s="235" t="s">
        <v>268</v>
      </c>
      <c r="S2" s="235" t="s">
        <v>157</v>
      </c>
      <c r="T2" s="235" t="s">
        <v>305</v>
      </c>
      <c r="U2" s="235" t="s">
        <v>158</v>
      </c>
      <c r="V2" s="235" t="s">
        <v>159</v>
      </c>
      <c r="W2" s="235" t="s">
        <v>160</v>
      </c>
      <c r="X2" s="235" t="s">
        <v>269</v>
      </c>
      <c r="Y2" s="235" t="s">
        <v>270</v>
      </c>
      <c r="Z2" s="235" t="s">
        <v>271</v>
      </c>
      <c r="AA2" s="235" t="s">
        <v>180</v>
      </c>
      <c r="AB2" s="235" t="s">
        <v>161</v>
      </c>
      <c r="AC2" s="235" t="s">
        <v>162</v>
      </c>
      <c r="AD2" s="235" t="s">
        <v>163</v>
      </c>
      <c r="AE2" s="235" t="s">
        <v>302</v>
      </c>
      <c r="AF2" s="235" t="s">
        <v>164</v>
      </c>
      <c r="AG2" s="235" t="s">
        <v>165</v>
      </c>
      <c r="AH2" s="235" t="s">
        <v>166</v>
      </c>
      <c r="AI2" s="235" t="s">
        <v>167</v>
      </c>
      <c r="AJ2" s="235" t="s">
        <v>346</v>
      </c>
      <c r="AK2" s="235" t="s">
        <v>168</v>
      </c>
      <c r="AL2" s="235" t="s">
        <v>169</v>
      </c>
      <c r="AM2" s="235" t="s">
        <v>170</v>
      </c>
      <c r="AN2" s="235" t="s">
        <v>171</v>
      </c>
      <c r="AO2" s="235" t="s">
        <v>212</v>
      </c>
      <c r="AP2" s="235" t="s">
        <v>383</v>
      </c>
      <c r="AQ2" s="235" t="s">
        <v>384</v>
      </c>
      <c r="AR2" s="235" t="s">
        <v>385</v>
      </c>
      <c r="AS2" s="235" t="s">
        <v>386</v>
      </c>
      <c r="AT2" s="235" t="s">
        <v>387</v>
      </c>
      <c r="AU2" s="235" t="s">
        <v>388</v>
      </c>
      <c r="AV2" s="235" t="s">
        <v>389</v>
      </c>
      <c r="AW2" s="235" t="s">
        <v>356</v>
      </c>
      <c r="AX2" s="235" t="s">
        <v>357</v>
      </c>
      <c r="AY2" s="235" t="s">
        <v>358</v>
      </c>
      <c r="AZ2" s="235" t="s">
        <v>359</v>
      </c>
      <c r="BA2" s="235" t="s">
        <v>390</v>
      </c>
      <c r="BB2" s="235" t="s">
        <v>391</v>
      </c>
      <c r="BC2" s="235" t="s">
        <v>392</v>
      </c>
      <c r="BD2" s="235" t="s">
        <v>393</v>
      </c>
      <c r="BE2" s="235" t="s">
        <v>394</v>
      </c>
      <c r="BF2" s="235" t="s">
        <v>395</v>
      </c>
      <c r="BG2" s="235" t="s">
        <v>276</v>
      </c>
      <c r="BH2" s="235" t="s">
        <v>277</v>
      </c>
      <c r="BI2" s="235" t="s">
        <v>272</v>
      </c>
      <c r="BJ2" s="235" t="s">
        <v>273</v>
      </c>
      <c r="BK2" s="235" t="s">
        <v>274</v>
      </c>
      <c r="BL2" s="235" t="s">
        <v>275</v>
      </c>
      <c r="BM2" s="235" t="s">
        <v>213</v>
      </c>
      <c r="BN2" s="235" t="s">
        <v>278</v>
      </c>
      <c r="BO2" s="235" t="s">
        <v>279</v>
      </c>
      <c r="BP2" s="235" t="s">
        <v>280</v>
      </c>
      <c r="BQ2" s="235" t="s">
        <v>304</v>
      </c>
      <c r="BR2" s="235" t="s">
        <v>172</v>
      </c>
      <c r="BS2" s="235" t="s">
        <v>173</v>
      </c>
    </row>
    <row r="3" spans="2:71" x14ac:dyDescent="0.25">
      <c r="B3" s="236"/>
      <c r="C3" s="236"/>
      <c r="D3" s="237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5"/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5"/>
      <c r="BM3" s="235"/>
      <c r="BN3" s="235"/>
      <c r="BO3" s="235"/>
      <c r="BP3" s="235"/>
      <c r="BQ3" s="235"/>
      <c r="BR3" s="235"/>
      <c r="BS3" s="235"/>
    </row>
    <row r="4" spans="2:71" ht="19.5" customHeight="1" x14ac:dyDescent="0.25">
      <c r="B4" s="236"/>
      <c r="C4" s="236"/>
      <c r="D4" s="237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</row>
    <row r="5" spans="2:71" x14ac:dyDescent="0.25">
      <c r="B5" s="80">
        <v>1</v>
      </c>
      <c r="C5" s="81" t="s">
        <v>119</v>
      </c>
      <c r="D5" s="87">
        <v>13444</v>
      </c>
      <c r="E5" s="87">
        <f>F5*100</f>
        <v>1000</v>
      </c>
      <c r="F5" s="82">
        <f>IF(D5&lt;20000,10,20)</f>
        <v>10</v>
      </c>
      <c r="G5" s="80">
        <f>F5*10</f>
        <v>100</v>
      </c>
      <c r="H5" s="83">
        <f t="shared" ref="H5:H16" si="0">D5/600</f>
        <v>22</v>
      </c>
      <c r="I5" s="84">
        <f t="shared" ref="I5:I16" si="1">IF(D5&lt;10000,200,400)</f>
        <v>400</v>
      </c>
      <c r="J5" s="114">
        <f>I5/85</f>
        <v>5</v>
      </c>
      <c r="K5" s="114">
        <f>J5*0.8</f>
        <v>4</v>
      </c>
      <c r="L5" s="114">
        <f t="shared" ref="L5:L16" si="2">J5</f>
        <v>5</v>
      </c>
      <c r="M5" s="114">
        <f>J5*1.25</f>
        <v>6</v>
      </c>
      <c r="N5" s="114">
        <f>(M5/2)-1</f>
        <v>2</v>
      </c>
      <c r="O5" s="114">
        <f>N5</f>
        <v>2</v>
      </c>
      <c r="P5" s="114">
        <f>O5/2</f>
        <v>1</v>
      </c>
      <c r="Q5" s="115">
        <f>IF(I5&lt;201,15,25)</f>
        <v>25</v>
      </c>
      <c r="R5" s="82">
        <f>Q5*1.1</f>
        <v>27.5</v>
      </c>
      <c r="S5" s="116">
        <f>Q5-5</f>
        <v>20</v>
      </c>
      <c r="T5" s="80">
        <f>Q5/4</f>
        <v>6.25</v>
      </c>
      <c r="U5" s="80">
        <f>IF(Q5&gt;10,3.5,2)</f>
        <v>3.5</v>
      </c>
      <c r="V5" s="82">
        <f>U5*3</f>
        <v>10.5</v>
      </c>
      <c r="W5" s="82">
        <f>V5</f>
        <v>10.5</v>
      </c>
      <c r="X5" s="80">
        <f>IF(O5&lt;5,4.5,2)</f>
        <v>4.5</v>
      </c>
      <c r="Y5" s="80">
        <v>4.7</v>
      </c>
      <c r="Z5" s="80">
        <f>O5/1</f>
        <v>2</v>
      </c>
      <c r="AA5" s="80">
        <v>8</v>
      </c>
      <c r="AB5" s="80">
        <v>6</v>
      </c>
      <c r="AC5" s="82">
        <v>1</v>
      </c>
      <c r="AD5" s="80">
        <v>1.9</v>
      </c>
      <c r="AE5" s="80">
        <v>9</v>
      </c>
      <c r="AF5" s="82">
        <f>AE5</f>
        <v>9</v>
      </c>
      <c r="AG5" s="82">
        <f>AD5</f>
        <v>1.9</v>
      </c>
      <c r="AH5" s="82">
        <v>4</v>
      </c>
      <c r="AI5" s="80">
        <f>AH5</f>
        <v>4</v>
      </c>
      <c r="AJ5" s="80">
        <f>U5</f>
        <v>3.5</v>
      </c>
      <c r="AK5" s="115">
        <f>K5</f>
        <v>4</v>
      </c>
      <c r="AL5" s="82">
        <f>AA5</f>
        <v>8</v>
      </c>
      <c r="AM5" s="82">
        <f>AF5</f>
        <v>9</v>
      </c>
      <c r="AN5" s="82">
        <f>AI5</f>
        <v>4</v>
      </c>
      <c r="AO5" s="82">
        <f>(SUM(M5:O5))*800</f>
        <v>8000</v>
      </c>
      <c r="AP5" s="82">
        <f>1.1</f>
        <v>1.1000000000000001</v>
      </c>
      <c r="AQ5" s="82">
        <v>0.1</v>
      </c>
      <c r="AR5" s="82">
        <f>AQ5/2</f>
        <v>0.05</v>
      </c>
      <c r="AS5" s="82">
        <f>AR5</f>
        <v>0.05</v>
      </c>
      <c r="AT5" s="82">
        <f>AQ5</f>
        <v>0.1</v>
      </c>
      <c r="AU5" s="82">
        <f>AP5</f>
        <v>1.1000000000000001</v>
      </c>
      <c r="AV5" s="82">
        <f>AQ5</f>
        <v>0.1</v>
      </c>
      <c r="AW5" s="82">
        <f>AV5*2</f>
        <v>0.2</v>
      </c>
      <c r="AX5" s="82">
        <f>AW5</f>
        <v>0.2</v>
      </c>
      <c r="AY5" s="82">
        <f>AX5</f>
        <v>0.2</v>
      </c>
      <c r="AZ5" s="82">
        <f>AS5*10</f>
        <v>0.5</v>
      </c>
      <c r="BA5" s="82">
        <f>AO5/2</f>
        <v>4000</v>
      </c>
      <c r="BB5" s="82">
        <f>BA5</f>
        <v>4000</v>
      </c>
      <c r="BC5" s="82">
        <f>BA5</f>
        <v>4000</v>
      </c>
      <c r="BD5" s="115">
        <f>BA5</f>
        <v>4000</v>
      </c>
      <c r="BE5" s="115">
        <f>BA5</f>
        <v>4000</v>
      </c>
      <c r="BF5" s="115">
        <f>BA5</f>
        <v>4000</v>
      </c>
      <c r="BG5" s="115">
        <f t="shared" ref="BG5:BG16" si="3">AO5/160</f>
        <v>50</v>
      </c>
      <c r="BH5" s="115">
        <f t="shared" ref="BH5" si="4">BG5</f>
        <v>50</v>
      </c>
      <c r="BI5" s="115">
        <f t="shared" ref="BI5:BI19" si="5">AO5/140</f>
        <v>57</v>
      </c>
      <c r="BJ5" s="115">
        <f t="shared" ref="BJ5" si="6">BI5</f>
        <v>57</v>
      </c>
      <c r="BK5" s="115">
        <f t="shared" ref="BK5:BL5" si="7">BJ5</f>
        <v>57</v>
      </c>
      <c r="BL5" s="115">
        <f t="shared" si="7"/>
        <v>57</v>
      </c>
      <c r="BM5" s="115">
        <f t="shared" ref="BM5:BM48" si="8">J5*1.5</f>
        <v>8</v>
      </c>
      <c r="BN5" s="115">
        <f>BM5/1.5</f>
        <v>5</v>
      </c>
      <c r="BO5" s="115">
        <f>BB5*1.5</f>
        <v>6000</v>
      </c>
      <c r="BP5" s="115">
        <f>BO5*5</f>
        <v>30000</v>
      </c>
      <c r="BQ5" s="115">
        <f t="shared" ref="BQ5:BQ48" si="9">BH5</f>
        <v>50</v>
      </c>
      <c r="BR5" s="116">
        <f t="shared" ref="BR5:BR48" si="10">D5/30</f>
        <v>448</v>
      </c>
      <c r="BS5" s="116">
        <f t="shared" ref="BS5:BS48" si="11">AL5*20</f>
        <v>160</v>
      </c>
    </row>
    <row r="6" spans="2:71" x14ac:dyDescent="0.25">
      <c r="B6" s="80">
        <f>B5+1</f>
        <v>2</v>
      </c>
      <c r="C6" s="81" t="s">
        <v>120</v>
      </c>
      <c r="D6" s="87">
        <v>3994</v>
      </c>
      <c r="E6" s="87">
        <f t="shared" ref="E6:E16" si="12">F6*100</f>
        <v>1000</v>
      </c>
      <c r="F6" s="82">
        <f t="shared" ref="F6:F16" si="13">IF(D6&lt;20000,10,20)</f>
        <v>10</v>
      </c>
      <c r="G6" s="80">
        <f t="shared" ref="G6:G16" si="14">F6*10</f>
        <v>100</v>
      </c>
      <c r="H6" s="83">
        <f t="shared" si="0"/>
        <v>7</v>
      </c>
      <c r="I6" s="84">
        <f t="shared" si="1"/>
        <v>200</v>
      </c>
      <c r="J6" s="114">
        <f t="shared" ref="J6:J48" si="15">I6/85</f>
        <v>2</v>
      </c>
      <c r="K6" s="114">
        <f t="shared" ref="K6:K48" si="16">J6*0.8</f>
        <v>2</v>
      </c>
      <c r="L6" s="114">
        <f t="shared" si="2"/>
        <v>2</v>
      </c>
      <c r="M6" s="114">
        <f t="shared" ref="M6:M48" si="17">J6*1.25</f>
        <v>3</v>
      </c>
      <c r="N6" s="114">
        <f t="shared" ref="N6:N16" si="18">M6/2</f>
        <v>2</v>
      </c>
      <c r="O6" s="114">
        <f>N6</f>
        <v>2</v>
      </c>
      <c r="P6" s="114">
        <f t="shared" ref="P6:P16" si="19">O6/2</f>
        <v>1</v>
      </c>
      <c r="Q6" s="115">
        <f t="shared" ref="Q6:Q48" si="20">IF(I6&lt;201,15,25)</f>
        <v>15</v>
      </c>
      <c r="R6" s="82">
        <f t="shared" ref="R6:R14" si="21">Q6*1.1</f>
        <v>16.5</v>
      </c>
      <c r="S6" s="116">
        <f t="shared" ref="S6:S48" si="22">Q6-5</f>
        <v>10</v>
      </c>
      <c r="T6" s="80">
        <f t="shared" ref="T6:T16" si="23">Q6/4</f>
        <v>3.75</v>
      </c>
      <c r="U6" s="80">
        <v>3</v>
      </c>
      <c r="V6" s="82">
        <v>10.5</v>
      </c>
      <c r="W6" s="82">
        <f t="shared" ref="W6:W17" si="24">V6</f>
        <v>10.5</v>
      </c>
      <c r="X6" s="80">
        <f t="shared" ref="X6:X48" si="25">IF(O6&lt;5,4.5,2)</f>
        <v>4.5</v>
      </c>
      <c r="Y6" s="80">
        <f t="shared" ref="Y6:Y48" si="26">X6*0.6</f>
        <v>2.7</v>
      </c>
      <c r="Z6" s="80">
        <f t="shared" ref="Z6:Z48" si="27">O6/1</f>
        <v>2</v>
      </c>
      <c r="AA6" s="80">
        <f t="shared" ref="AA6:AA48" si="28">Q6/2.5</f>
        <v>6</v>
      </c>
      <c r="AB6" s="80">
        <v>3</v>
      </c>
      <c r="AC6" s="82">
        <v>1</v>
      </c>
      <c r="AD6" s="80">
        <f t="shared" ref="AD6:AD47" si="29">Y6/2</f>
        <v>1.35</v>
      </c>
      <c r="AE6" s="80">
        <v>5</v>
      </c>
      <c r="AF6" s="82">
        <f t="shared" ref="AF6:AF48" si="30">AE6</f>
        <v>5</v>
      </c>
      <c r="AG6" s="82">
        <f t="shared" ref="AG6:AG16" si="31">AD6</f>
        <v>1.35</v>
      </c>
      <c r="AH6" s="82">
        <v>3</v>
      </c>
      <c r="AI6" s="80">
        <f t="shared" ref="AI6:AI48" si="32">AH6</f>
        <v>3</v>
      </c>
      <c r="AJ6" s="80">
        <f t="shared" ref="AJ6:AJ48" si="33">U6</f>
        <v>3</v>
      </c>
      <c r="AK6" s="115">
        <f t="shared" ref="AK6:AK48" si="34">K6</f>
        <v>2</v>
      </c>
      <c r="AL6" s="82">
        <f t="shared" ref="AL6:AL47" si="35">AA6</f>
        <v>6</v>
      </c>
      <c r="AM6" s="82">
        <f t="shared" ref="AM6:AM16" si="36">AF6</f>
        <v>5</v>
      </c>
      <c r="AN6" s="82">
        <f t="shared" ref="AN6:AN16" si="37">AI6</f>
        <v>3</v>
      </c>
      <c r="AO6" s="82">
        <f t="shared" ref="AO6:AO48" si="38">(SUM(M6:O6))*800</f>
        <v>5600</v>
      </c>
      <c r="AP6" s="82">
        <f>1.2</f>
        <v>1.2</v>
      </c>
      <c r="AQ6" s="82">
        <v>0.1</v>
      </c>
      <c r="AR6" s="82">
        <f t="shared" ref="AR6:AR48" si="39">AQ6/2</f>
        <v>0.05</v>
      </c>
      <c r="AS6" s="82">
        <f t="shared" ref="AS6:AS47" si="40">AR6</f>
        <v>0.05</v>
      </c>
      <c r="AT6" s="82">
        <f t="shared" ref="AT6:AT48" si="41">AQ6</f>
        <v>0.1</v>
      </c>
      <c r="AU6" s="82">
        <f t="shared" ref="AU6:AU48" si="42">AP6</f>
        <v>1.2</v>
      </c>
      <c r="AV6" s="82">
        <f t="shared" ref="AV6:AV48" si="43">AQ6</f>
        <v>0.1</v>
      </c>
      <c r="AW6" s="82">
        <f t="shared" ref="AW6:AW48" si="44">AV6*2</f>
        <v>0.2</v>
      </c>
      <c r="AX6" s="82">
        <f t="shared" ref="AX6:AY48" si="45">AW6</f>
        <v>0.2</v>
      </c>
      <c r="AY6" s="82">
        <f t="shared" si="45"/>
        <v>0.2</v>
      </c>
      <c r="AZ6" s="82">
        <f t="shared" ref="AZ6:AZ48" si="46">AS6*10</f>
        <v>0.5</v>
      </c>
      <c r="BA6" s="82">
        <f t="shared" ref="BA6:BA48" si="47">AO6/2</f>
        <v>2800</v>
      </c>
      <c r="BB6" s="82">
        <f t="shared" ref="BB6:BB48" si="48">BA6</f>
        <v>2800</v>
      </c>
      <c r="BC6" s="82">
        <f t="shared" ref="BC6:BC48" si="49">BA6</f>
        <v>2800</v>
      </c>
      <c r="BD6" s="115">
        <f t="shared" ref="BD6:BD48" si="50">BA6</f>
        <v>2800</v>
      </c>
      <c r="BE6" s="115">
        <f t="shared" ref="BE6:BE48" si="51">BA6</f>
        <v>2800</v>
      </c>
      <c r="BF6" s="115">
        <f t="shared" ref="BF6:BF48" si="52">BA6</f>
        <v>2800</v>
      </c>
      <c r="BG6" s="115">
        <f t="shared" si="3"/>
        <v>35</v>
      </c>
      <c r="BH6" s="115">
        <f t="shared" ref="BH6" si="53">BG6</f>
        <v>35</v>
      </c>
      <c r="BI6" s="115">
        <f t="shared" si="5"/>
        <v>40</v>
      </c>
      <c r="BJ6" s="115">
        <f t="shared" ref="BJ6" si="54">BI6</f>
        <v>40</v>
      </c>
      <c r="BK6" s="115">
        <f t="shared" ref="BK6:BL6" si="55">BJ6</f>
        <v>40</v>
      </c>
      <c r="BL6" s="115">
        <f t="shared" si="55"/>
        <v>40</v>
      </c>
      <c r="BM6" s="115">
        <f t="shared" si="8"/>
        <v>3</v>
      </c>
      <c r="BN6" s="115">
        <f t="shared" ref="BN6:BN16" si="56">BM6/1.5</f>
        <v>2</v>
      </c>
      <c r="BO6" s="115">
        <f t="shared" ref="BO6:BO48" si="57">BB6*1.5</f>
        <v>4200</v>
      </c>
      <c r="BP6" s="115">
        <f t="shared" ref="BP6:BP16" si="58">BO6*5</f>
        <v>21000</v>
      </c>
      <c r="BQ6" s="115">
        <f t="shared" si="9"/>
        <v>35</v>
      </c>
      <c r="BR6" s="116">
        <f t="shared" si="10"/>
        <v>133</v>
      </c>
      <c r="BS6" s="116">
        <f t="shared" si="11"/>
        <v>120</v>
      </c>
    </row>
    <row r="7" spans="2:71" x14ac:dyDescent="0.25">
      <c r="B7" s="80">
        <f t="shared" ref="B7:B48" si="59">B6+1</f>
        <v>3</v>
      </c>
      <c r="C7" s="81" t="s">
        <v>121</v>
      </c>
      <c r="D7" s="87">
        <v>15169</v>
      </c>
      <c r="E7" s="87">
        <f t="shared" si="12"/>
        <v>1000</v>
      </c>
      <c r="F7" s="82">
        <f t="shared" si="13"/>
        <v>10</v>
      </c>
      <c r="G7" s="80">
        <f t="shared" si="14"/>
        <v>100</v>
      </c>
      <c r="H7" s="83">
        <f t="shared" si="0"/>
        <v>25</v>
      </c>
      <c r="I7" s="84">
        <f t="shared" si="1"/>
        <v>400</v>
      </c>
      <c r="J7" s="114">
        <f t="shared" si="15"/>
        <v>5</v>
      </c>
      <c r="K7" s="114">
        <f t="shared" si="16"/>
        <v>4</v>
      </c>
      <c r="L7" s="114">
        <f t="shared" si="2"/>
        <v>5</v>
      </c>
      <c r="M7" s="114">
        <f t="shared" si="17"/>
        <v>6</v>
      </c>
      <c r="N7" s="114">
        <f t="shared" si="18"/>
        <v>3</v>
      </c>
      <c r="O7" s="114">
        <f t="shared" ref="O7:O16" si="60">N7</f>
        <v>3</v>
      </c>
      <c r="P7" s="114">
        <f t="shared" si="19"/>
        <v>2</v>
      </c>
      <c r="Q7" s="115">
        <f t="shared" si="20"/>
        <v>25</v>
      </c>
      <c r="R7" s="82">
        <f t="shared" si="21"/>
        <v>27.5</v>
      </c>
      <c r="S7" s="116">
        <f t="shared" si="22"/>
        <v>20</v>
      </c>
      <c r="T7" s="80">
        <f t="shared" si="23"/>
        <v>6.25</v>
      </c>
      <c r="U7" s="80">
        <v>3</v>
      </c>
      <c r="V7" s="82">
        <v>10.5</v>
      </c>
      <c r="W7" s="82">
        <f t="shared" si="24"/>
        <v>10.5</v>
      </c>
      <c r="X7" s="80">
        <f t="shared" si="25"/>
        <v>4.5</v>
      </c>
      <c r="Y7" s="80">
        <v>3.8</v>
      </c>
      <c r="Z7" s="80">
        <f t="shared" si="27"/>
        <v>3</v>
      </c>
      <c r="AA7" s="80">
        <v>8</v>
      </c>
      <c r="AB7" s="80">
        <v>6</v>
      </c>
      <c r="AC7" s="82">
        <v>1</v>
      </c>
      <c r="AD7" s="80">
        <f t="shared" si="29"/>
        <v>1.9</v>
      </c>
      <c r="AE7" s="80">
        <v>5</v>
      </c>
      <c r="AF7" s="82">
        <f t="shared" si="30"/>
        <v>5</v>
      </c>
      <c r="AG7" s="82">
        <f t="shared" si="31"/>
        <v>1.9</v>
      </c>
      <c r="AH7" s="82">
        <v>4</v>
      </c>
      <c r="AI7" s="80">
        <f t="shared" si="32"/>
        <v>4</v>
      </c>
      <c r="AJ7" s="80">
        <f t="shared" si="33"/>
        <v>3</v>
      </c>
      <c r="AK7" s="115">
        <f t="shared" si="34"/>
        <v>4</v>
      </c>
      <c r="AL7" s="82">
        <f t="shared" si="35"/>
        <v>8</v>
      </c>
      <c r="AM7" s="82">
        <f t="shared" si="36"/>
        <v>5</v>
      </c>
      <c r="AN7" s="82">
        <f t="shared" si="37"/>
        <v>4</v>
      </c>
      <c r="AO7" s="82">
        <f t="shared" si="38"/>
        <v>9600</v>
      </c>
      <c r="AP7" s="82">
        <f t="shared" ref="AP7:AP48" si="61">1.1</f>
        <v>1.1000000000000001</v>
      </c>
      <c r="AQ7" s="82">
        <v>0.1</v>
      </c>
      <c r="AR7" s="82">
        <f t="shared" si="39"/>
        <v>0.05</v>
      </c>
      <c r="AS7" s="82">
        <f t="shared" si="40"/>
        <v>0.05</v>
      </c>
      <c r="AT7" s="82">
        <f t="shared" si="41"/>
        <v>0.1</v>
      </c>
      <c r="AU7" s="82">
        <v>2</v>
      </c>
      <c r="AV7" s="82">
        <v>0</v>
      </c>
      <c r="AW7" s="82">
        <f t="shared" si="44"/>
        <v>0</v>
      </c>
      <c r="AX7" s="82">
        <f t="shared" si="45"/>
        <v>0</v>
      </c>
      <c r="AY7" s="82">
        <f t="shared" si="45"/>
        <v>0</v>
      </c>
      <c r="AZ7" s="82">
        <f t="shared" si="46"/>
        <v>0.5</v>
      </c>
      <c r="BA7" s="82">
        <f t="shared" si="47"/>
        <v>4800</v>
      </c>
      <c r="BB7" s="82">
        <f t="shared" si="48"/>
        <v>4800</v>
      </c>
      <c r="BC7" s="82">
        <f t="shared" si="49"/>
        <v>4800</v>
      </c>
      <c r="BD7" s="115">
        <f t="shared" si="50"/>
        <v>4800</v>
      </c>
      <c r="BE7" s="115">
        <f t="shared" si="51"/>
        <v>4800</v>
      </c>
      <c r="BF7" s="115">
        <f t="shared" si="52"/>
        <v>4800</v>
      </c>
      <c r="BG7" s="115">
        <f t="shared" si="3"/>
        <v>60</v>
      </c>
      <c r="BH7" s="115">
        <f t="shared" ref="BH7" si="62">BG7</f>
        <v>60</v>
      </c>
      <c r="BI7" s="115">
        <f t="shared" si="5"/>
        <v>69</v>
      </c>
      <c r="BJ7" s="115">
        <f t="shared" ref="BJ7" si="63">BI7</f>
        <v>69</v>
      </c>
      <c r="BK7" s="115">
        <f t="shared" ref="BK7:BL7" si="64">BJ7</f>
        <v>69</v>
      </c>
      <c r="BL7" s="115">
        <f t="shared" si="64"/>
        <v>69</v>
      </c>
      <c r="BM7" s="115">
        <f t="shared" si="8"/>
        <v>8</v>
      </c>
      <c r="BN7" s="115">
        <f t="shared" si="56"/>
        <v>5</v>
      </c>
      <c r="BO7" s="115">
        <f t="shared" si="57"/>
        <v>7200</v>
      </c>
      <c r="BP7" s="115">
        <f t="shared" si="58"/>
        <v>36000</v>
      </c>
      <c r="BQ7" s="115">
        <f t="shared" si="9"/>
        <v>60</v>
      </c>
      <c r="BR7" s="116">
        <f t="shared" si="10"/>
        <v>506</v>
      </c>
      <c r="BS7" s="116">
        <f t="shared" si="11"/>
        <v>160</v>
      </c>
    </row>
    <row r="8" spans="2:71" x14ac:dyDescent="0.25">
      <c r="B8" s="80">
        <f t="shared" si="59"/>
        <v>4</v>
      </c>
      <c r="C8" s="81" t="s">
        <v>122</v>
      </c>
      <c r="D8" s="87">
        <v>4678</v>
      </c>
      <c r="E8" s="87">
        <f t="shared" si="12"/>
        <v>1000</v>
      </c>
      <c r="F8" s="82">
        <f t="shared" si="13"/>
        <v>10</v>
      </c>
      <c r="G8" s="80">
        <f t="shared" si="14"/>
        <v>100</v>
      </c>
      <c r="H8" s="83">
        <f t="shared" si="0"/>
        <v>8</v>
      </c>
      <c r="I8" s="84">
        <f t="shared" si="1"/>
        <v>200</v>
      </c>
      <c r="J8" s="114">
        <f t="shared" si="15"/>
        <v>2</v>
      </c>
      <c r="K8" s="114">
        <f t="shared" si="16"/>
        <v>2</v>
      </c>
      <c r="L8" s="114">
        <f t="shared" si="2"/>
        <v>2</v>
      </c>
      <c r="M8" s="114">
        <f t="shared" si="17"/>
        <v>3</v>
      </c>
      <c r="N8" s="114">
        <f t="shared" si="18"/>
        <v>2</v>
      </c>
      <c r="O8" s="114">
        <f t="shared" si="60"/>
        <v>2</v>
      </c>
      <c r="P8" s="114">
        <f t="shared" si="19"/>
        <v>1</v>
      </c>
      <c r="Q8" s="115">
        <f t="shared" si="20"/>
        <v>15</v>
      </c>
      <c r="R8" s="82">
        <f t="shared" si="21"/>
        <v>16.5</v>
      </c>
      <c r="S8" s="116">
        <f t="shared" si="22"/>
        <v>10</v>
      </c>
      <c r="T8" s="80">
        <f t="shared" si="23"/>
        <v>3.75</v>
      </c>
      <c r="U8" s="80">
        <v>3</v>
      </c>
      <c r="V8" s="82">
        <v>10.5</v>
      </c>
      <c r="W8" s="82">
        <f t="shared" si="24"/>
        <v>10.5</v>
      </c>
      <c r="X8" s="80">
        <f t="shared" si="25"/>
        <v>4.5</v>
      </c>
      <c r="Y8" s="80">
        <f t="shared" si="26"/>
        <v>2.7</v>
      </c>
      <c r="Z8" s="80">
        <f t="shared" si="27"/>
        <v>2</v>
      </c>
      <c r="AA8" s="80">
        <f t="shared" si="28"/>
        <v>6</v>
      </c>
      <c r="AB8" s="80">
        <v>3</v>
      </c>
      <c r="AC8" s="82">
        <v>1</v>
      </c>
      <c r="AD8" s="80">
        <f t="shared" si="29"/>
        <v>1.35</v>
      </c>
      <c r="AE8" s="80">
        <v>5</v>
      </c>
      <c r="AF8" s="82">
        <f t="shared" si="30"/>
        <v>5</v>
      </c>
      <c r="AG8" s="82">
        <f t="shared" si="31"/>
        <v>1.35</v>
      </c>
      <c r="AH8" s="82">
        <v>3</v>
      </c>
      <c r="AI8" s="80">
        <f t="shared" si="32"/>
        <v>3</v>
      </c>
      <c r="AJ8" s="80">
        <f t="shared" si="33"/>
        <v>3</v>
      </c>
      <c r="AK8" s="115">
        <f t="shared" si="34"/>
        <v>2</v>
      </c>
      <c r="AL8" s="82">
        <f t="shared" si="35"/>
        <v>6</v>
      </c>
      <c r="AM8" s="82">
        <f t="shared" si="36"/>
        <v>5</v>
      </c>
      <c r="AN8" s="82">
        <f t="shared" si="37"/>
        <v>3</v>
      </c>
      <c r="AO8" s="82">
        <f t="shared" si="38"/>
        <v>5600</v>
      </c>
      <c r="AP8" s="82">
        <f t="shared" si="61"/>
        <v>1.1000000000000001</v>
      </c>
      <c r="AQ8" s="82">
        <v>0.1</v>
      </c>
      <c r="AR8" s="82">
        <f t="shared" si="39"/>
        <v>0.05</v>
      </c>
      <c r="AS8" s="82">
        <f t="shared" si="40"/>
        <v>0.05</v>
      </c>
      <c r="AT8" s="82">
        <f t="shared" si="41"/>
        <v>0.1</v>
      </c>
      <c r="AU8" s="82">
        <v>2</v>
      </c>
      <c r="AV8" s="82">
        <v>0</v>
      </c>
      <c r="AW8" s="82">
        <f t="shared" si="44"/>
        <v>0</v>
      </c>
      <c r="AX8" s="82">
        <f t="shared" si="45"/>
        <v>0</v>
      </c>
      <c r="AY8" s="82">
        <f t="shared" si="45"/>
        <v>0</v>
      </c>
      <c r="AZ8" s="82">
        <f t="shared" si="46"/>
        <v>0.5</v>
      </c>
      <c r="BA8" s="82">
        <v>1800</v>
      </c>
      <c r="BB8" s="82">
        <f t="shared" si="48"/>
        <v>1800</v>
      </c>
      <c r="BC8" s="82">
        <f t="shared" si="49"/>
        <v>1800</v>
      </c>
      <c r="BD8" s="115">
        <f t="shared" si="50"/>
        <v>1800</v>
      </c>
      <c r="BE8" s="115">
        <f t="shared" si="51"/>
        <v>1800</v>
      </c>
      <c r="BF8" s="115">
        <f t="shared" si="52"/>
        <v>1800</v>
      </c>
      <c r="BG8" s="115">
        <f t="shared" si="3"/>
        <v>35</v>
      </c>
      <c r="BH8" s="115">
        <f t="shared" ref="BH8" si="65">BG8</f>
        <v>35</v>
      </c>
      <c r="BI8" s="115">
        <f t="shared" si="5"/>
        <v>40</v>
      </c>
      <c r="BJ8" s="115">
        <f t="shared" ref="BJ8" si="66">BI8</f>
        <v>40</v>
      </c>
      <c r="BK8" s="115">
        <f t="shared" ref="BK8:BL8" si="67">BJ8</f>
        <v>40</v>
      </c>
      <c r="BL8" s="115">
        <f t="shared" si="67"/>
        <v>40</v>
      </c>
      <c r="BM8" s="115">
        <f t="shared" si="8"/>
        <v>3</v>
      </c>
      <c r="BN8" s="115">
        <f t="shared" si="56"/>
        <v>2</v>
      </c>
      <c r="BO8" s="115">
        <v>7200</v>
      </c>
      <c r="BP8" s="115">
        <f t="shared" si="58"/>
        <v>36000</v>
      </c>
      <c r="BQ8" s="115">
        <f t="shared" si="9"/>
        <v>35</v>
      </c>
      <c r="BR8" s="116">
        <f t="shared" si="10"/>
        <v>156</v>
      </c>
      <c r="BS8" s="116">
        <f t="shared" si="11"/>
        <v>120</v>
      </c>
    </row>
    <row r="9" spans="2:71" x14ac:dyDescent="0.25">
      <c r="B9" s="80">
        <f t="shared" si="59"/>
        <v>5</v>
      </c>
      <c r="C9" s="81" t="s">
        <v>123</v>
      </c>
      <c r="D9" s="87">
        <v>8453</v>
      </c>
      <c r="E9" s="87">
        <f t="shared" si="12"/>
        <v>1000</v>
      </c>
      <c r="F9" s="82">
        <f t="shared" si="13"/>
        <v>10</v>
      </c>
      <c r="G9" s="80">
        <f t="shared" si="14"/>
        <v>100</v>
      </c>
      <c r="H9" s="83">
        <f t="shared" si="0"/>
        <v>14</v>
      </c>
      <c r="I9" s="84">
        <f t="shared" si="1"/>
        <v>200</v>
      </c>
      <c r="J9" s="114">
        <f t="shared" si="15"/>
        <v>2</v>
      </c>
      <c r="K9" s="114">
        <f t="shared" si="16"/>
        <v>2</v>
      </c>
      <c r="L9" s="114">
        <f t="shared" si="2"/>
        <v>2</v>
      </c>
      <c r="M9" s="114">
        <f t="shared" si="17"/>
        <v>3</v>
      </c>
      <c r="N9" s="114">
        <f t="shared" si="18"/>
        <v>2</v>
      </c>
      <c r="O9" s="114">
        <f t="shared" si="60"/>
        <v>2</v>
      </c>
      <c r="P9" s="114">
        <f t="shared" si="19"/>
        <v>1</v>
      </c>
      <c r="Q9" s="115">
        <f t="shared" si="20"/>
        <v>15</v>
      </c>
      <c r="R9" s="115">
        <f>Q9+1</f>
        <v>16</v>
      </c>
      <c r="S9" s="116">
        <f t="shared" si="22"/>
        <v>10</v>
      </c>
      <c r="T9" s="80">
        <f t="shared" si="23"/>
        <v>3.75</v>
      </c>
      <c r="U9" s="80">
        <v>3</v>
      </c>
      <c r="V9" s="82">
        <v>10.5</v>
      </c>
      <c r="W9" s="82">
        <f t="shared" si="24"/>
        <v>10.5</v>
      </c>
      <c r="X9" s="80">
        <f t="shared" si="25"/>
        <v>4.5</v>
      </c>
      <c r="Y9" s="80">
        <f t="shared" si="26"/>
        <v>2.7</v>
      </c>
      <c r="Z9" s="80">
        <f t="shared" si="27"/>
        <v>2</v>
      </c>
      <c r="AA9" s="80">
        <f t="shared" si="28"/>
        <v>6</v>
      </c>
      <c r="AB9" s="80">
        <v>3</v>
      </c>
      <c r="AC9" s="82">
        <v>1</v>
      </c>
      <c r="AD9" s="80">
        <f t="shared" si="29"/>
        <v>1.35</v>
      </c>
      <c r="AE9" s="80">
        <v>5</v>
      </c>
      <c r="AF9" s="82">
        <f t="shared" si="30"/>
        <v>5</v>
      </c>
      <c r="AG9" s="82">
        <f t="shared" si="31"/>
        <v>1.35</v>
      </c>
      <c r="AH9" s="82">
        <v>3</v>
      </c>
      <c r="AI9" s="80">
        <f t="shared" si="32"/>
        <v>3</v>
      </c>
      <c r="AJ9" s="80">
        <f t="shared" si="33"/>
        <v>3</v>
      </c>
      <c r="AK9" s="115">
        <f t="shared" si="34"/>
        <v>2</v>
      </c>
      <c r="AL9" s="82">
        <f t="shared" si="35"/>
        <v>6</v>
      </c>
      <c r="AM9" s="82">
        <f t="shared" si="36"/>
        <v>5</v>
      </c>
      <c r="AN9" s="82">
        <f t="shared" si="37"/>
        <v>3</v>
      </c>
      <c r="AO9" s="82">
        <f t="shared" si="38"/>
        <v>5600</v>
      </c>
      <c r="AP9" s="82">
        <f t="shared" si="61"/>
        <v>1.1000000000000001</v>
      </c>
      <c r="AQ9" s="82">
        <v>0.1</v>
      </c>
      <c r="AR9" s="82">
        <f t="shared" si="39"/>
        <v>0.05</v>
      </c>
      <c r="AS9" s="82">
        <f t="shared" si="40"/>
        <v>0.05</v>
      </c>
      <c r="AT9" s="82">
        <f t="shared" si="41"/>
        <v>0.1</v>
      </c>
      <c r="AU9" s="82">
        <v>2</v>
      </c>
      <c r="AV9" s="82">
        <v>0</v>
      </c>
      <c r="AW9" s="82">
        <f t="shared" si="44"/>
        <v>0</v>
      </c>
      <c r="AX9" s="82">
        <f t="shared" si="45"/>
        <v>0</v>
      </c>
      <c r="AY9" s="82">
        <f t="shared" si="45"/>
        <v>0</v>
      </c>
      <c r="AZ9" s="82">
        <f t="shared" si="46"/>
        <v>0.5</v>
      </c>
      <c r="BA9" s="82">
        <v>1800</v>
      </c>
      <c r="BB9" s="82">
        <f t="shared" si="48"/>
        <v>1800</v>
      </c>
      <c r="BC9" s="82">
        <f t="shared" si="49"/>
        <v>1800</v>
      </c>
      <c r="BD9" s="115">
        <f t="shared" si="50"/>
        <v>1800</v>
      </c>
      <c r="BE9" s="115">
        <f t="shared" si="51"/>
        <v>1800</v>
      </c>
      <c r="BF9" s="115">
        <f t="shared" si="52"/>
        <v>1800</v>
      </c>
      <c r="BG9" s="115">
        <f t="shared" si="3"/>
        <v>35</v>
      </c>
      <c r="BH9" s="115">
        <f t="shared" ref="BH9" si="68">BG9</f>
        <v>35</v>
      </c>
      <c r="BI9" s="115">
        <f t="shared" si="5"/>
        <v>40</v>
      </c>
      <c r="BJ9" s="115">
        <f t="shared" ref="BJ9" si="69">BI9</f>
        <v>40</v>
      </c>
      <c r="BK9" s="115">
        <f t="shared" ref="BK9:BL9" si="70">BJ9</f>
        <v>40</v>
      </c>
      <c r="BL9" s="115">
        <f t="shared" si="70"/>
        <v>40</v>
      </c>
      <c r="BM9" s="115">
        <f t="shared" si="8"/>
        <v>3</v>
      </c>
      <c r="BN9" s="115">
        <f t="shared" si="56"/>
        <v>2</v>
      </c>
      <c r="BO9" s="115">
        <v>7200</v>
      </c>
      <c r="BP9" s="115">
        <f t="shared" si="58"/>
        <v>36000</v>
      </c>
      <c r="BQ9" s="115">
        <f t="shared" si="9"/>
        <v>35</v>
      </c>
      <c r="BR9" s="116">
        <f t="shared" si="10"/>
        <v>282</v>
      </c>
      <c r="BS9" s="116">
        <f t="shared" si="11"/>
        <v>120</v>
      </c>
    </row>
    <row r="10" spans="2:71" x14ac:dyDescent="0.25">
      <c r="B10" s="80">
        <f t="shared" si="59"/>
        <v>6</v>
      </c>
      <c r="C10" s="81" t="s">
        <v>124</v>
      </c>
      <c r="D10" s="87">
        <v>5015</v>
      </c>
      <c r="E10" s="87">
        <f t="shared" si="12"/>
        <v>1000</v>
      </c>
      <c r="F10" s="82">
        <f t="shared" si="13"/>
        <v>10</v>
      </c>
      <c r="G10" s="80">
        <f t="shared" si="14"/>
        <v>100</v>
      </c>
      <c r="H10" s="83">
        <f t="shared" si="0"/>
        <v>8</v>
      </c>
      <c r="I10" s="84">
        <f t="shared" si="1"/>
        <v>200</v>
      </c>
      <c r="J10" s="114">
        <f t="shared" si="15"/>
        <v>2</v>
      </c>
      <c r="K10" s="114">
        <f t="shared" si="16"/>
        <v>2</v>
      </c>
      <c r="L10" s="114">
        <f t="shared" si="2"/>
        <v>2</v>
      </c>
      <c r="M10" s="114">
        <f t="shared" si="17"/>
        <v>3</v>
      </c>
      <c r="N10" s="114">
        <f t="shared" si="18"/>
        <v>2</v>
      </c>
      <c r="O10" s="114">
        <f t="shared" si="60"/>
        <v>2</v>
      </c>
      <c r="P10" s="114">
        <f t="shared" si="19"/>
        <v>1</v>
      </c>
      <c r="Q10" s="115">
        <f t="shared" si="20"/>
        <v>15</v>
      </c>
      <c r="R10" s="82">
        <f t="shared" si="21"/>
        <v>16.5</v>
      </c>
      <c r="S10" s="116">
        <f t="shared" si="22"/>
        <v>10</v>
      </c>
      <c r="T10" s="80">
        <f t="shared" si="23"/>
        <v>3.75</v>
      </c>
      <c r="U10" s="80">
        <v>3</v>
      </c>
      <c r="V10" s="82">
        <v>10.5</v>
      </c>
      <c r="W10" s="82">
        <f t="shared" si="24"/>
        <v>10.5</v>
      </c>
      <c r="X10" s="80">
        <f t="shared" si="25"/>
        <v>4.5</v>
      </c>
      <c r="Y10" s="80">
        <f t="shared" si="26"/>
        <v>2.7</v>
      </c>
      <c r="Z10" s="80">
        <f t="shared" si="27"/>
        <v>2</v>
      </c>
      <c r="AA10" s="80">
        <f t="shared" si="28"/>
        <v>6</v>
      </c>
      <c r="AB10" s="80">
        <v>3</v>
      </c>
      <c r="AC10" s="82">
        <v>1</v>
      </c>
      <c r="AD10" s="80">
        <f t="shared" si="29"/>
        <v>1.35</v>
      </c>
      <c r="AE10" s="80">
        <v>5</v>
      </c>
      <c r="AF10" s="82">
        <f t="shared" si="30"/>
        <v>5</v>
      </c>
      <c r="AG10" s="82">
        <f t="shared" si="31"/>
        <v>1.35</v>
      </c>
      <c r="AH10" s="82">
        <v>3</v>
      </c>
      <c r="AI10" s="80">
        <f t="shared" si="32"/>
        <v>3</v>
      </c>
      <c r="AJ10" s="80">
        <f t="shared" si="33"/>
        <v>3</v>
      </c>
      <c r="AK10" s="115">
        <f t="shared" si="34"/>
        <v>2</v>
      </c>
      <c r="AL10" s="82">
        <f t="shared" si="35"/>
        <v>6</v>
      </c>
      <c r="AM10" s="82">
        <f t="shared" si="36"/>
        <v>5</v>
      </c>
      <c r="AN10" s="82">
        <f t="shared" si="37"/>
        <v>3</v>
      </c>
      <c r="AO10" s="82">
        <f t="shared" si="38"/>
        <v>5600</v>
      </c>
      <c r="AP10" s="82">
        <f t="shared" si="61"/>
        <v>1.1000000000000001</v>
      </c>
      <c r="AQ10" s="82">
        <v>0.1</v>
      </c>
      <c r="AR10" s="82">
        <f t="shared" si="39"/>
        <v>0.05</v>
      </c>
      <c r="AS10" s="82">
        <f t="shared" si="40"/>
        <v>0.05</v>
      </c>
      <c r="AT10" s="82">
        <f t="shared" si="41"/>
        <v>0.1</v>
      </c>
      <c r="AU10" s="82">
        <v>2</v>
      </c>
      <c r="AV10" s="82">
        <v>0</v>
      </c>
      <c r="AW10" s="82">
        <f t="shared" si="44"/>
        <v>0</v>
      </c>
      <c r="AX10" s="82">
        <f t="shared" si="45"/>
        <v>0</v>
      </c>
      <c r="AY10" s="82">
        <f t="shared" si="45"/>
        <v>0</v>
      </c>
      <c r="AZ10" s="82">
        <f t="shared" si="46"/>
        <v>0.5</v>
      </c>
      <c r="BA10" s="82">
        <f t="shared" si="47"/>
        <v>2800</v>
      </c>
      <c r="BB10" s="82">
        <f t="shared" si="48"/>
        <v>2800</v>
      </c>
      <c r="BC10" s="82">
        <f t="shared" si="49"/>
        <v>2800</v>
      </c>
      <c r="BD10" s="115">
        <f t="shared" si="50"/>
        <v>2800</v>
      </c>
      <c r="BE10" s="115">
        <f t="shared" si="51"/>
        <v>2800</v>
      </c>
      <c r="BF10" s="115">
        <f t="shared" si="52"/>
        <v>2800</v>
      </c>
      <c r="BG10" s="115">
        <f t="shared" si="3"/>
        <v>35</v>
      </c>
      <c r="BH10" s="115">
        <f t="shared" ref="BH10" si="71">BG10</f>
        <v>35</v>
      </c>
      <c r="BI10" s="115">
        <f t="shared" si="5"/>
        <v>40</v>
      </c>
      <c r="BJ10" s="115">
        <f t="shared" ref="BJ10" si="72">BI10</f>
        <v>40</v>
      </c>
      <c r="BK10" s="115">
        <f t="shared" ref="BK10:BL10" si="73">BJ10</f>
        <v>40</v>
      </c>
      <c r="BL10" s="115">
        <f t="shared" si="73"/>
        <v>40</v>
      </c>
      <c r="BM10" s="115">
        <f t="shared" si="8"/>
        <v>3</v>
      </c>
      <c r="BN10" s="115">
        <f t="shared" si="56"/>
        <v>2</v>
      </c>
      <c r="BO10" s="115">
        <f t="shared" si="57"/>
        <v>4200</v>
      </c>
      <c r="BP10" s="115">
        <f t="shared" si="58"/>
        <v>21000</v>
      </c>
      <c r="BQ10" s="115">
        <f t="shared" si="9"/>
        <v>35</v>
      </c>
      <c r="BR10" s="116">
        <f t="shared" si="10"/>
        <v>167</v>
      </c>
      <c r="BS10" s="116">
        <f t="shared" si="11"/>
        <v>120</v>
      </c>
    </row>
    <row r="11" spans="2:71" x14ac:dyDescent="0.25">
      <c r="B11" s="80">
        <f t="shared" si="59"/>
        <v>7</v>
      </c>
      <c r="C11" s="81" t="s">
        <v>125</v>
      </c>
      <c r="D11" s="87">
        <v>3974</v>
      </c>
      <c r="E11" s="87">
        <f t="shared" si="12"/>
        <v>1000</v>
      </c>
      <c r="F11" s="82">
        <f t="shared" si="13"/>
        <v>10</v>
      </c>
      <c r="G11" s="80">
        <f t="shared" si="14"/>
        <v>100</v>
      </c>
      <c r="H11" s="83">
        <f t="shared" si="0"/>
        <v>7</v>
      </c>
      <c r="I11" s="84">
        <f t="shared" si="1"/>
        <v>200</v>
      </c>
      <c r="J11" s="114">
        <f t="shared" si="15"/>
        <v>2</v>
      </c>
      <c r="K11" s="114">
        <f t="shared" si="16"/>
        <v>2</v>
      </c>
      <c r="L11" s="114">
        <f t="shared" si="2"/>
        <v>2</v>
      </c>
      <c r="M11" s="114">
        <f t="shared" si="17"/>
        <v>3</v>
      </c>
      <c r="N11" s="114">
        <f t="shared" si="18"/>
        <v>2</v>
      </c>
      <c r="O11" s="114">
        <f t="shared" si="60"/>
        <v>2</v>
      </c>
      <c r="P11" s="114">
        <f t="shared" si="19"/>
        <v>1</v>
      </c>
      <c r="Q11" s="115">
        <f t="shared" si="20"/>
        <v>15</v>
      </c>
      <c r="R11" s="82">
        <f>(Q11*1.1)-1.5</f>
        <v>15</v>
      </c>
      <c r="S11" s="116">
        <f t="shared" si="22"/>
        <v>10</v>
      </c>
      <c r="T11" s="80">
        <f t="shared" si="23"/>
        <v>3.75</v>
      </c>
      <c r="U11" s="80">
        <v>3</v>
      </c>
      <c r="V11" s="82">
        <v>10.5</v>
      </c>
      <c r="W11" s="82">
        <f t="shared" si="24"/>
        <v>10.5</v>
      </c>
      <c r="X11" s="80">
        <f t="shared" si="25"/>
        <v>4.5</v>
      </c>
      <c r="Y11" s="80">
        <f t="shared" si="26"/>
        <v>2.7</v>
      </c>
      <c r="Z11" s="80">
        <f t="shared" si="27"/>
        <v>2</v>
      </c>
      <c r="AA11" s="80">
        <f t="shared" si="28"/>
        <v>6</v>
      </c>
      <c r="AB11" s="80">
        <v>3</v>
      </c>
      <c r="AC11" s="82">
        <v>1</v>
      </c>
      <c r="AD11" s="80">
        <f t="shared" si="29"/>
        <v>1.35</v>
      </c>
      <c r="AE11" s="80">
        <v>5</v>
      </c>
      <c r="AF11" s="82">
        <f t="shared" si="30"/>
        <v>5</v>
      </c>
      <c r="AG11" s="82">
        <f t="shared" si="31"/>
        <v>1.35</v>
      </c>
      <c r="AH11" s="82">
        <v>3</v>
      </c>
      <c r="AI11" s="80">
        <f t="shared" si="32"/>
        <v>3</v>
      </c>
      <c r="AJ11" s="80">
        <f t="shared" si="33"/>
        <v>3</v>
      </c>
      <c r="AK11" s="115">
        <f t="shared" si="34"/>
        <v>2</v>
      </c>
      <c r="AL11" s="82">
        <f t="shared" si="35"/>
        <v>6</v>
      </c>
      <c r="AM11" s="82">
        <f t="shared" si="36"/>
        <v>5</v>
      </c>
      <c r="AN11" s="82">
        <f t="shared" si="37"/>
        <v>3</v>
      </c>
      <c r="AO11" s="82">
        <f t="shared" si="38"/>
        <v>5600</v>
      </c>
      <c r="AP11" s="82">
        <f t="shared" si="61"/>
        <v>1.1000000000000001</v>
      </c>
      <c r="AQ11" s="82">
        <v>0.1</v>
      </c>
      <c r="AR11" s="82">
        <f t="shared" si="39"/>
        <v>0.05</v>
      </c>
      <c r="AS11" s="82">
        <f t="shared" si="40"/>
        <v>0.05</v>
      </c>
      <c r="AT11" s="82">
        <f t="shared" si="41"/>
        <v>0.1</v>
      </c>
      <c r="AU11" s="82">
        <v>2</v>
      </c>
      <c r="AV11" s="82">
        <f t="shared" si="43"/>
        <v>0.1</v>
      </c>
      <c r="AW11" s="82">
        <f t="shared" si="44"/>
        <v>0.2</v>
      </c>
      <c r="AX11" s="82">
        <f t="shared" si="45"/>
        <v>0.2</v>
      </c>
      <c r="AY11" s="82">
        <f t="shared" si="45"/>
        <v>0.2</v>
      </c>
      <c r="AZ11" s="82">
        <f t="shared" si="46"/>
        <v>0.5</v>
      </c>
      <c r="BA11" s="82">
        <f t="shared" si="47"/>
        <v>2800</v>
      </c>
      <c r="BB11" s="82">
        <f t="shared" si="48"/>
        <v>2800</v>
      </c>
      <c r="BC11" s="82">
        <f t="shared" si="49"/>
        <v>2800</v>
      </c>
      <c r="BD11" s="115">
        <f t="shared" si="50"/>
        <v>2800</v>
      </c>
      <c r="BE11" s="115">
        <f t="shared" si="51"/>
        <v>2800</v>
      </c>
      <c r="BF11" s="115">
        <f t="shared" si="52"/>
        <v>2800</v>
      </c>
      <c r="BG11" s="115">
        <f t="shared" si="3"/>
        <v>35</v>
      </c>
      <c r="BH11" s="115">
        <f t="shared" ref="BH11" si="74">BG11</f>
        <v>35</v>
      </c>
      <c r="BI11" s="115">
        <f t="shared" si="5"/>
        <v>40</v>
      </c>
      <c r="BJ11" s="115">
        <f t="shared" ref="BJ11" si="75">BI11</f>
        <v>40</v>
      </c>
      <c r="BK11" s="115">
        <f t="shared" ref="BK11:BL11" si="76">BJ11</f>
        <v>40</v>
      </c>
      <c r="BL11" s="115">
        <f t="shared" si="76"/>
        <v>40</v>
      </c>
      <c r="BM11" s="115">
        <f t="shared" si="8"/>
        <v>3</v>
      </c>
      <c r="BN11" s="115">
        <f t="shared" si="56"/>
        <v>2</v>
      </c>
      <c r="BO11" s="115">
        <f t="shared" si="57"/>
        <v>4200</v>
      </c>
      <c r="BP11" s="115">
        <f t="shared" si="58"/>
        <v>21000</v>
      </c>
      <c r="BQ11" s="115">
        <f t="shared" si="9"/>
        <v>35</v>
      </c>
      <c r="BR11" s="116">
        <f t="shared" si="10"/>
        <v>132</v>
      </c>
      <c r="BS11" s="116">
        <f t="shared" si="11"/>
        <v>120</v>
      </c>
    </row>
    <row r="12" spans="2:71" x14ac:dyDescent="0.25">
      <c r="B12" s="80">
        <f t="shared" si="59"/>
        <v>8</v>
      </c>
      <c r="C12" s="81" t="s">
        <v>126</v>
      </c>
      <c r="D12" s="87">
        <v>9308</v>
      </c>
      <c r="E12" s="87">
        <f t="shared" si="12"/>
        <v>1000</v>
      </c>
      <c r="F12" s="82">
        <f t="shared" si="13"/>
        <v>10</v>
      </c>
      <c r="G12" s="80">
        <f t="shared" si="14"/>
        <v>100</v>
      </c>
      <c r="H12" s="83">
        <f t="shared" si="0"/>
        <v>16</v>
      </c>
      <c r="I12" s="84">
        <f t="shared" si="1"/>
        <v>200</v>
      </c>
      <c r="J12" s="114">
        <f t="shared" si="15"/>
        <v>2</v>
      </c>
      <c r="K12" s="114">
        <f t="shared" si="16"/>
        <v>2</v>
      </c>
      <c r="L12" s="114">
        <f t="shared" si="2"/>
        <v>2</v>
      </c>
      <c r="M12" s="114">
        <f t="shared" si="17"/>
        <v>3</v>
      </c>
      <c r="N12" s="114">
        <f t="shared" si="18"/>
        <v>2</v>
      </c>
      <c r="O12" s="114">
        <f t="shared" si="60"/>
        <v>2</v>
      </c>
      <c r="P12" s="114">
        <f t="shared" si="19"/>
        <v>1</v>
      </c>
      <c r="Q12" s="115">
        <f t="shared" si="20"/>
        <v>15</v>
      </c>
      <c r="R12" s="115">
        <f>Q12+1</f>
        <v>16</v>
      </c>
      <c r="S12" s="116">
        <f t="shared" si="22"/>
        <v>10</v>
      </c>
      <c r="T12" s="80">
        <f t="shared" si="23"/>
        <v>3.75</v>
      </c>
      <c r="U12" s="80">
        <v>3</v>
      </c>
      <c r="V12" s="82">
        <v>10.5</v>
      </c>
      <c r="W12" s="82">
        <f t="shared" si="24"/>
        <v>10.5</v>
      </c>
      <c r="X12" s="80">
        <f t="shared" si="25"/>
        <v>4.5</v>
      </c>
      <c r="Y12" s="80">
        <f t="shared" si="26"/>
        <v>2.7</v>
      </c>
      <c r="Z12" s="80">
        <f t="shared" si="27"/>
        <v>2</v>
      </c>
      <c r="AA12" s="80">
        <f t="shared" si="28"/>
        <v>6</v>
      </c>
      <c r="AB12" s="80">
        <v>3</v>
      </c>
      <c r="AC12" s="82">
        <v>1</v>
      </c>
      <c r="AD12" s="80">
        <f t="shared" si="29"/>
        <v>1.35</v>
      </c>
      <c r="AE12" s="80">
        <v>5</v>
      </c>
      <c r="AF12" s="82">
        <f t="shared" si="30"/>
        <v>5</v>
      </c>
      <c r="AG12" s="82">
        <f t="shared" si="31"/>
        <v>1.35</v>
      </c>
      <c r="AH12" s="82">
        <v>3</v>
      </c>
      <c r="AI12" s="80">
        <f t="shared" si="32"/>
        <v>3</v>
      </c>
      <c r="AJ12" s="80">
        <f t="shared" si="33"/>
        <v>3</v>
      </c>
      <c r="AK12" s="115">
        <f t="shared" si="34"/>
        <v>2</v>
      </c>
      <c r="AL12" s="82">
        <f t="shared" si="35"/>
        <v>6</v>
      </c>
      <c r="AM12" s="82">
        <f t="shared" si="36"/>
        <v>5</v>
      </c>
      <c r="AN12" s="82">
        <f t="shared" si="37"/>
        <v>3</v>
      </c>
      <c r="AO12" s="82">
        <f t="shared" si="38"/>
        <v>5600</v>
      </c>
      <c r="AP12" s="82">
        <f t="shared" si="61"/>
        <v>1.1000000000000001</v>
      </c>
      <c r="AQ12" s="82">
        <v>0.1</v>
      </c>
      <c r="AR12" s="82">
        <f t="shared" si="39"/>
        <v>0.05</v>
      </c>
      <c r="AS12" s="82">
        <f t="shared" si="40"/>
        <v>0.05</v>
      </c>
      <c r="AT12" s="82">
        <f t="shared" si="41"/>
        <v>0.1</v>
      </c>
      <c r="AU12" s="82">
        <v>2</v>
      </c>
      <c r="AV12" s="82">
        <f t="shared" si="43"/>
        <v>0.1</v>
      </c>
      <c r="AW12" s="82">
        <f t="shared" si="44"/>
        <v>0.2</v>
      </c>
      <c r="AX12" s="82">
        <f t="shared" si="45"/>
        <v>0.2</v>
      </c>
      <c r="AY12" s="82">
        <f t="shared" si="45"/>
        <v>0.2</v>
      </c>
      <c r="AZ12" s="82">
        <f t="shared" si="46"/>
        <v>0.5</v>
      </c>
      <c r="BA12" s="82">
        <f t="shared" si="47"/>
        <v>2800</v>
      </c>
      <c r="BB12" s="82">
        <f t="shared" si="48"/>
        <v>2800</v>
      </c>
      <c r="BC12" s="82">
        <f t="shared" si="49"/>
        <v>2800</v>
      </c>
      <c r="BD12" s="115">
        <f t="shared" si="50"/>
        <v>2800</v>
      </c>
      <c r="BE12" s="115">
        <f t="shared" si="51"/>
        <v>2800</v>
      </c>
      <c r="BF12" s="115">
        <f t="shared" si="52"/>
        <v>2800</v>
      </c>
      <c r="BG12" s="115">
        <f t="shared" si="3"/>
        <v>35</v>
      </c>
      <c r="BH12" s="115">
        <f t="shared" ref="BH12" si="77">BG12</f>
        <v>35</v>
      </c>
      <c r="BI12" s="115">
        <f t="shared" si="5"/>
        <v>40</v>
      </c>
      <c r="BJ12" s="115">
        <f t="shared" ref="BJ12" si="78">BI12</f>
        <v>40</v>
      </c>
      <c r="BK12" s="115">
        <f t="shared" ref="BK12:BL12" si="79">BJ12</f>
        <v>40</v>
      </c>
      <c r="BL12" s="115">
        <f t="shared" si="79"/>
        <v>40</v>
      </c>
      <c r="BM12" s="115">
        <f t="shared" si="8"/>
        <v>3</v>
      </c>
      <c r="BN12" s="115">
        <f t="shared" si="56"/>
        <v>2</v>
      </c>
      <c r="BO12" s="115">
        <f t="shared" si="57"/>
        <v>4200</v>
      </c>
      <c r="BP12" s="115">
        <f t="shared" si="58"/>
        <v>21000</v>
      </c>
      <c r="BQ12" s="115">
        <f t="shared" si="9"/>
        <v>35</v>
      </c>
      <c r="BR12" s="116">
        <f t="shared" si="10"/>
        <v>310</v>
      </c>
      <c r="BS12" s="116">
        <f t="shared" si="11"/>
        <v>120</v>
      </c>
    </row>
    <row r="13" spans="2:71" x14ac:dyDescent="0.25">
      <c r="B13" s="80">
        <f t="shared" si="59"/>
        <v>9</v>
      </c>
      <c r="C13" s="81" t="s">
        <v>127</v>
      </c>
      <c r="D13" s="87">
        <v>4548</v>
      </c>
      <c r="E13" s="87">
        <f t="shared" si="12"/>
        <v>1000</v>
      </c>
      <c r="F13" s="82">
        <f t="shared" si="13"/>
        <v>10</v>
      </c>
      <c r="G13" s="80">
        <f t="shared" si="14"/>
        <v>100</v>
      </c>
      <c r="H13" s="83">
        <f t="shared" si="0"/>
        <v>8</v>
      </c>
      <c r="I13" s="84">
        <f t="shared" si="1"/>
        <v>200</v>
      </c>
      <c r="J13" s="114">
        <f t="shared" si="15"/>
        <v>2</v>
      </c>
      <c r="K13" s="114">
        <f t="shared" si="16"/>
        <v>2</v>
      </c>
      <c r="L13" s="114">
        <f t="shared" si="2"/>
        <v>2</v>
      </c>
      <c r="M13" s="114">
        <f t="shared" si="17"/>
        <v>3</v>
      </c>
      <c r="N13" s="114">
        <f t="shared" si="18"/>
        <v>2</v>
      </c>
      <c r="O13" s="114">
        <f t="shared" si="60"/>
        <v>2</v>
      </c>
      <c r="P13" s="114">
        <f t="shared" si="19"/>
        <v>1</v>
      </c>
      <c r="Q13" s="115">
        <f t="shared" si="20"/>
        <v>15</v>
      </c>
      <c r="R13" s="115">
        <f>Q13+2</f>
        <v>17</v>
      </c>
      <c r="S13" s="116">
        <f t="shared" si="22"/>
        <v>10</v>
      </c>
      <c r="T13" s="80">
        <f t="shared" si="23"/>
        <v>3.75</v>
      </c>
      <c r="U13" s="80">
        <v>3</v>
      </c>
      <c r="V13" s="82">
        <v>10.5</v>
      </c>
      <c r="W13" s="82">
        <f t="shared" si="24"/>
        <v>10.5</v>
      </c>
      <c r="X13" s="80">
        <f t="shared" si="25"/>
        <v>4.5</v>
      </c>
      <c r="Y13" s="80">
        <f t="shared" si="26"/>
        <v>2.7</v>
      </c>
      <c r="Z13" s="80">
        <f t="shared" si="27"/>
        <v>2</v>
      </c>
      <c r="AA13" s="80">
        <f t="shared" si="28"/>
        <v>6</v>
      </c>
      <c r="AB13" s="80">
        <v>3</v>
      </c>
      <c r="AC13" s="82">
        <v>1</v>
      </c>
      <c r="AD13" s="80">
        <f t="shared" si="29"/>
        <v>1.35</v>
      </c>
      <c r="AE13" s="80">
        <v>5</v>
      </c>
      <c r="AF13" s="82">
        <f t="shared" si="30"/>
        <v>5</v>
      </c>
      <c r="AG13" s="82">
        <f t="shared" si="31"/>
        <v>1.35</v>
      </c>
      <c r="AH13" s="82">
        <v>3</v>
      </c>
      <c r="AI13" s="80">
        <f t="shared" si="32"/>
        <v>3</v>
      </c>
      <c r="AJ13" s="80">
        <f t="shared" si="33"/>
        <v>3</v>
      </c>
      <c r="AK13" s="115">
        <f t="shared" si="34"/>
        <v>2</v>
      </c>
      <c r="AL13" s="82">
        <f t="shared" si="35"/>
        <v>6</v>
      </c>
      <c r="AM13" s="82">
        <f t="shared" si="36"/>
        <v>5</v>
      </c>
      <c r="AN13" s="82">
        <f t="shared" si="37"/>
        <v>3</v>
      </c>
      <c r="AO13" s="82">
        <f t="shared" si="38"/>
        <v>5600</v>
      </c>
      <c r="AP13" s="82">
        <f t="shared" si="61"/>
        <v>1.1000000000000001</v>
      </c>
      <c r="AQ13" s="82">
        <v>0.1</v>
      </c>
      <c r="AR13" s="82">
        <f t="shared" si="39"/>
        <v>0.05</v>
      </c>
      <c r="AS13" s="82">
        <f t="shared" si="40"/>
        <v>0.05</v>
      </c>
      <c r="AT13" s="82">
        <f t="shared" si="41"/>
        <v>0.1</v>
      </c>
      <c r="AU13" s="82">
        <v>2</v>
      </c>
      <c r="AV13" s="82">
        <f t="shared" si="43"/>
        <v>0.1</v>
      </c>
      <c r="AW13" s="82">
        <f t="shared" si="44"/>
        <v>0.2</v>
      </c>
      <c r="AX13" s="82">
        <f t="shared" si="45"/>
        <v>0.2</v>
      </c>
      <c r="AY13" s="82">
        <f t="shared" si="45"/>
        <v>0.2</v>
      </c>
      <c r="AZ13" s="82">
        <f t="shared" si="46"/>
        <v>0.5</v>
      </c>
      <c r="BA13" s="82">
        <f t="shared" si="47"/>
        <v>2800</v>
      </c>
      <c r="BB13" s="82">
        <f t="shared" si="48"/>
        <v>2800</v>
      </c>
      <c r="BC13" s="82">
        <f t="shared" si="49"/>
        <v>2800</v>
      </c>
      <c r="BD13" s="115">
        <f t="shared" si="50"/>
        <v>2800</v>
      </c>
      <c r="BE13" s="115">
        <f t="shared" si="51"/>
        <v>2800</v>
      </c>
      <c r="BF13" s="115">
        <f t="shared" si="52"/>
        <v>2800</v>
      </c>
      <c r="BG13" s="115">
        <f t="shared" si="3"/>
        <v>35</v>
      </c>
      <c r="BH13" s="115">
        <f t="shared" ref="BH13" si="80">BG13</f>
        <v>35</v>
      </c>
      <c r="BI13" s="115">
        <f t="shared" si="5"/>
        <v>40</v>
      </c>
      <c r="BJ13" s="115">
        <f t="shared" ref="BJ13" si="81">BI13</f>
        <v>40</v>
      </c>
      <c r="BK13" s="115">
        <f t="shared" ref="BK13:BL13" si="82">BJ13</f>
        <v>40</v>
      </c>
      <c r="BL13" s="115">
        <f t="shared" si="82"/>
        <v>40</v>
      </c>
      <c r="BM13" s="115">
        <f t="shared" si="8"/>
        <v>3</v>
      </c>
      <c r="BN13" s="115">
        <f t="shared" si="56"/>
        <v>2</v>
      </c>
      <c r="BO13" s="115">
        <f t="shared" si="57"/>
        <v>4200</v>
      </c>
      <c r="BP13" s="115">
        <f t="shared" si="58"/>
        <v>21000</v>
      </c>
      <c r="BQ13" s="115">
        <f t="shared" si="9"/>
        <v>35</v>
      </c>
      <c r="BR13" s="116">
        <f t="shared" si="10"/>
        <v>152</v>
      </c>
      <c r="BS13" s="116">
        <f t="shared" si="11"/>
        <v>120</v>
      </c>
    </row>
    <row r="14" spans="2:71" x14ac:dyDescent="0.25">
      <c r="B14" s="80">
        <f t="shared" si="59"/>
        <v>10</v>
      </c>
      <c r="C14" s="81" t="s">
        <v>128</v>
      </c>
      <c r="D14" s="87">
        <v>7594</v>
      </c>
      <c r="E14" s="87">
        <f t="shared" si="12"/>
        <v>1000</v>
      </c>
      <c r="F14" s="82">
        <f t="shared" si="13"/>
        <v>10</v>
      </c>
      <c r="G14" s="80">
        <f t="shared" si="14"/>
        <v>100</v>
      </c>
      <c r="H14" s="83">
        <f t="shared" si="0"/>
        <v>13</v>
      </c>
      <c r="I14" s="84">
        <f t="shared" si="1"/>
        <v>200</v>
      </c>
      <c r="J14" s="114">
        <f t="shared" si="15"/>
        <v>2</v>
      </c>
      <c r="K14" s="114">
        <f t="shared" si="16"/>
        <v>2</v>
      </c>
      <c r="L14" s="114">
        <f t="shared" si="2"/>
        <v>2</v>
      </c>
      <c r="M14" s="114">
        <f t="shared" si="17"/>
        <v>3</v>
      </c>
      <c r="N14" s="114">
        <f t="shared" si="18"/>
        <v>2</v>
      </c>
      <c r="O14" s="114">
        <f t="shared" si="60"/>
        <v>2</v>
      </c>
      <c r="P14" s="114">
        <f t="shared" si="19"/>
        <v>1</v>
      </c>
      <c r="Q14" s="115">
        <f t="shared" si="20"/>
        <v>15</v>
      </c>
      <c r="R14" s="82">
        <f t="shared" si="21"/>
        <v>16.5</v>
      </c>
      <c r="S14" s="116">
        <f t="shared" si="22"/>
        <v>10</v>
      </c>
      <c r="T14" s="80">
        <f t="shared" si="23"/>
        <v>3.75</v>
      </c>
      <c r="U14" s="80">
        <f t="shared" ref="U14:U48" si="83">IF(Q14&gt;10,3.5,2)</f>
        <v>3.5</v>
      </c>
      <c r="V14" s="82">
        <f t="shared" ref="V14:V48" si="84">U14*3</f>
        <v>10.5</v>
      </c>
      <c r="W14" s="82">
        <f t="shared" si="24"/>
        <v>10.5</v>
      </c>
      <c r="X14" s="80">
        <f t="shared" si="25"/>
        <v>4.5</v>
      </c>
      <c r="Y14" s="80">
        <f t="shared" si="26"/>
        <v>2.7</v>
      </c>
      <c r="Z14" s="80">
        <f t="shared" si="27"/>
        <v>2</v>
      </c>
      <c r="AA14" s="80">
        <f t="shared" si="28"/>
        <v>6</v>
      </c>
      <c r="AB14" s="80">
        <v>3</v>
      </c>
      <c r="AC14" s="82">
        <v>1</v>
      </c>
      <c r="AD14" s="80">
        <f t="shared" si="29"/>
        <v>1.35</v>
      </c>
      <c r="AE14" s="80">
        <v>5</v>
      </c>
      <c r="AF14" s="82">
        <f t="shared" si="30"/>
        <v>5</v>
      </c>
      <c r="AG14" s="82">
        <f t="shared" si="31"/>
        <v>1.35</v>
      </c>
      <c r="AH14" s="82">
        <v>3</v>
      </c>
      <c r="AI14" s="80">
        <f t="shared" si="32"/>
        <v>3</v>
      </c>
      <c r="AJ14" s="80">
        <f t="shared" si="33"/>
        <v>3.5</v>
      </c>
      <c r="AK14" s="115">
        <f t="shared" si="34"/>
        <v>2</v>
      </c>
      <c r="AL14" s="82">
        <f t="shared" si="35"/>
        <v>6</v>
      </c>
      <c r="AM14" s="82">
        <f t="shared" si="36"/>
        <v>5</v>
      </c>
      <c r="AN14" s="82">
        <f t="shared" si="37"/>
        <v>3</v>
      </c>
      <c r="AO14" s="82">
        <f t="shared" si="38"/>
        <v>5600</v>
      </c>
      <c r="AP14" s="82">
        <f t="shared" si="61"/>
        <v>1.1000000000000001</v>
      </c>
      <c r="AQ14" s="82">
        <v>0.1</v>
      </c>
      <c r="AR14" s="82">
        <f t="shared" si="39"/>
        <v>0.05</v>
      </c>
      <c r="AS14" s="82">
        <f t="shared" si="40"/>
        <v>0.05</v>
      </c>
      <c r="AT14" s="82">
        <f t="shared" si="41"/>
        <v>0.1</v>
      </c>
      <c r="AU14" s="82">
        <v>2</v>
      </c>
      <c r="AV14" s="82">
        <v>0</v>
      </c>
      <c r="AW14" s="82">
        <f t="shared" si="44"/>
        <v>0</v>
      </c>
      <c r="AX14" s="82">
        <f t="shared" si="45"/>
        <v>0</v>
      </c>
      <c r="AY14" s="82">
        <f t="shared" si="45"/>
        <v>0</v>
      </c>
      <c r="AZ14" s="82">
        <f t="shared" si="46"/>
        <v>0.5</v>
      </c>
      <c r="BA14" s="82">
        <f t="shared" si="47"/>
        <v>2800</v>
      </c>
      <c r="BB14" s="82">
        <f t="shared" si="48"/>
        <v>2800</v>
      </c>
      <c r="BC14" s="82">
        <f t="shared" si="49"/>
        <v>2800</v>
      </c>
      <c r="BD14" s="115">
        <f t="shared" si="50"/>
        <v>2800</v>
      </c>
      <c r="BE14" s="115">
        <f t="shared" si="51"/>
        <v>2800</v>
      </c>
      <c r="BF14" s="115">
        <f t="shared" si="52"/>
        <v>2800</v>
      </c>
      <c r="BG14" s="115">
        <f t="shared" si="3"/>
        <v>35</v>
      </c>
      <c r="BH14" s="115">
        <f t="shared" ref="BH14" si="85">BG14</f>
        <v>35</v>
      </c>
      <c r="BI14" s="115">
        <f t="shared" si="5"/>
        <v>40</v>
      </c>
      <c r="BJ14" s="115">
        <f t="shared" ref="BJ14" si="86">BI14</f>
        <v>40</v>
      </c>
      <c r="BK14" s="115">
        <f t="shared" ref="BK14:BL14" si="87">BJ14</f>
        <v>40</v>
      </c>
      <c r="BL14" s="115">
        <f t="shared" si="87"/>
        <v>40</v>
      </c>
      <c r="BM14" s="115">
        <f t="shared" si="8"/>
        <v>3</v>
      </c>
      <c r="BN14" s="115">
        <f t="shared" si="56"/>
        <v>2</v>
      </c>
      <c r="BO14" s="115">
        <f t="shared" si="57"/>
        <v>4200</v>
      </c>
      <c r="BP14" s="115">
        <f t="shared" si="58"/>
        <v>21000</v>
      </c>
      <c r="BQ14" s="115">
        <f t="shared" si="9"/>
        <v>35</v>
      </c>
      <c r="BR14" s="116">
        <f t="shared" si="10"/>
        <v>253</v>
      </c>
      <c r="BS14" s="116">
        <f t="shared" si="11"/>
        <v>120</v>
      </c>
    </row>
    <row r="15" spans="2:71" x14ac:dyDescent="0.25">
      <c r="B15" s="80">
        <f t="shared" si="59"/>
        <v>11</v>
      </c>
      <c r="C15" s="81" t="s">
        <v>129</v>
      </c>
      <c r="D15" s="87">
        <v>55309</v>
      </c>
      <c r="E15" s="87">
        <f t="shared" si="12"/>
        <v>2000</v>
      </c>
      <c r="F15" s="82">
        <f t="shared" si="13"/>
        <v>20</v>
      </c>
      <c r="G15" s="80">
        <f t="shared" si="14"/>
        <v>200</v>
      </c>
      <c r="H15" s="83">
        <f t="shared" si="0"/>
        <v>92</v>
      </c>
      <c r="I15" s="84">
        <f t="shared" si="1"/>
        <v>400</v>
      </c>
      <c r="J15" s="114">
        <f t="shared" si="15"/>
        <v>5</v>
      </c>
      <c r="K15" s="114">
        <f t="shared" si="16"/>
        <v>4</v>
      </c>
      <c r="L15" s="114">
        <f t="shared" si="2"/>
        <v>5</v>
      </c>
      <c r="M15" s="114">
        <f t="shared" si="17"/>
        <v>6</v>
      </c>
      <c r="N15" s="114">
        <f t="shared" si="18"/>
        <v>3</v>
      </c>
      <c r="O15" s="114">
        <f t="shared" si="60"/>
        <v>3</v>
      </c>
      <c r="P15" s="114">
        <f t="shared" si="19"/>
        <v>2</v>
      </c>
      <c r="Q15" s="115">
        <f t="shared" si="20"/>
        <v>25</v>
      </c>
      <c r="R15" s="82">
        <f>Q15*1.2</f>
        <v>30</v>
      </c>
      <c r="S15" s="116">
        <f t="shared" si="22"/>
        <v>20</v>
      </c>
      <c r="T15" s="80">
        <f t="shared" si="23"/>
        <v>6.25</v>
      </c>
      <c r="U15" s="80">
        <f t="shared" si="83"/>
        <v>3.5</v>
      </c>
      <c r="V15" s="82">
        <f t="shared" si="84"/>
        <v>10.5</v>
      </c>
      <c r="W15" s="82">
        <f t="shared" si="24"/>
        <v>10.5</v>
      </c>
      <c r="X15" s="80">
        <f t="shared" si="25"/>
        <v>4.5</v>
      </c>
      <c r="Y15" s="80">
        <f t="shared" si="26"/>
        <v>2.7</v>
      </c>
      <c r="Z15" s="80">
        <f t="shared" si="27"/>
        <v>3</v>
      </c>
      <c r="AA15" s="80">
        <v>8</v>
      </c>
      <c r="AB15" s="80">
        <v>6</v>
      </c>
      <c r="AC15" s="82">
        <v>1</v>
      </c>
      <c r="AD15" s="80">
        <f t="shared" si="29"/>
        <v>1.35</v>
      </c>
      <c r="AE15" s="80">
        <v>5</v>
      </c>
      <c r="AF15" s="82">
        <f t="shared" si="30"/>
        <v>5</v>
      </c>
      <c r="AG15" s="82">
        <f t="shared" si="31"/>
        <v>1.35</v>
      </c>
      <c r="AH15" s="82">
        <v>3</v>
      </c>
      <c r="AI15" s="80">
        <f t="shared" si="32"/>
        <v>3</v>
      </c>
      <c r="AJ15" s="80">
        <f t="shared" si="33"/>
        <v>3.5</v>
      </c>
      <c r="AK15" s="115">
        <f t="shared" si="34"/>
        <v>4</v>
      </c>
      <c r="AL15" s="82">
        <f t="shared" si="35"/>
        <v>8</v>
      </c>
      <c r="AM15" s="82">
        <f t="shared" si="36"/>
        <v>5</v>
      </c>
      <c r="AN15" s="82">
        <f t="shared" si="37"/>
        <v>3</v>
      </c>
      <c r="AO15" s="82">
        <f t="shared" si="38"/>
        <v>9600</v>
      </c>
      <c r="AP15" s="82">
        <f t="shared" si="61"/>
        <v>1.1000000000000001</v>
      </c>
      <c r="AQ15" s="82">
        <v>0.1</v>
      </c>
      <c r="AR15" s="82">
        <f t="shared" si="39"/>
        <v>0.05</v>
      </c>
      <c r="AS15" s="82">
        <f t="shared" si="40"/>
        <v>0.05</v>
      </c>
      <c r="AT15" s="82">
        <f t="shared" si="41"/>
        <v>0.1</v>
      </c>
      <c r="AU15" s="82">
        <v>2</v>
      </c>
      <c r="AV15" s="82">
        <v>0</v>
      </c>
      <c r="AW15" s="82">
        <f t="shared" si="44"/>
        <v>0</v>
      </c>
      <c r="AX15" s="82">
        <f t="shared" si="45"/>
        <v>0</v>
      </c>
      <c r="AY15" s="82">
        <f t="shared" si="45"/>
        <v>0</v>
      </c>
      <c r="AZ15" s="82">
        <f t="shared" si="46"/>
        <v>0.5</v>
      </c>
      <c r="BA15" s="82">
        <v>1800</v>
      </c>
      <c r="BB15" s="82">
        <f t="shared" si="48"/>
        <v>1800</v>
      </c>
      <c r="BC15" s="82">
        <f t="shared" si="49"/>
        <v>1800</v>
      </c>
      <c r="BD15" s="115">
        <f t="shared" si="50"/>
        <v>1800</v>
      </c>
      <c r="BE15" s="115">
        <f t="shared" si="51"/>
        <v>1800</v>
      </c>
      <c r="BF15" s="115">
        <f t="shared" si="52"/>
        <v>1800</v>
      </c>
      <c r="BG15" s="115">
        <f t="shared" si="3"/>
        <v>60</v>
      </c>
      <c r="BH15" s="115">
        <f t="shared" ref="BH15" si="88">BG15</f>
        <v>60</v>
      </c>
      <c r="BI15" s="115">
        <f t="shared" si="5"/>
        <v>69</v>
      </c>
      <c r="BJ15" s="115">
        <f t="shared" ref="BJ15" si="89">BI15</f>
        <v>69</v>
      </c>
      <c r="BK15" s="115">
        <f t="shared" ref="BK15:BL15" si="90">BJ15</f>
        <v>69</v>
      </c>
      <c r="BL15" s="115">
        <f t="shared" si="90"/>
        <v>69</v>
      </c>
      <c r="BM15" s="115">
        <f t="shared" si="8"/>
        <v>8</v>
      </c>
      <c r="BN15" s="115">
        <f t="shared" si="56"/>
        <v>5</v>
      </c>
      <c r="BO15" s="115">
        <f t="shared" si="57"/>
        <v>2700</v>
      </c>
      <c r="BP15" s="115">
        <f t="shared" si="58"/>
        <v>13500</v>
      </c>
      <c r="BQ15" s="115">
        <f t="shared" si="9"/>
        <v>60</v>
      </c>
      <c r="BR15" s="116">
        <f t="shared" si="10"/>
        <v>1844</v>
      </c>
      <c r="BS15" s="116">
        <f t="shared" si="11"/>
        <v>160</v>
      </c>
    </row>
    <row r="16" spans="2:71" x14ac:dyDescent="0.25">
      <c r="B16" s="80">
        <f t="shared" si="59"/>
        <v>12</v>
      </c>
      <c r="C16" s="81" t="s">
        <v>130</v>
      </c>
      <c r="D16" s="87">
        <v>7255</v>
      </c>
      <c r="E16" s="87">
        <f t="shared" si="12"/>
        <v>1000</v>
      </c>
      <c r="F16" s="82">
        <f t="shared" si="13"/>
        <v>10</v>
      </c>
      <c r="G16" s="80">
        <f t="shared" si="14"/>
        <v>100</v>
      </c>
      <c r="H16" s="83">
        <f t="shared" si="0"/>
        <v>12</v>
      </c>
      <c r="I16" s="84">
        <f t="shared" si="1"/>
        <v>200</v>
      </c>
      <c r="J16" s="114">
        <f t="shared" si="15"/>
        <v>2</v>
      </c>
      <c r="K16" s="114">
        <f t="shared" si="16"/>
        <v>2</v>
      </c>
      <c r="L16" s="114">
        <f t="shared" si="2"/>
        <v>2</v>
      </c>
      <c r="M16" s="114">
        <f t="shared" si="17"/>
        <v>3</v>
      </c>
      <c r="N16" s="114">
        <f t="shared" si="18"/>
        <v>2</v>
      </c>
      <c r="O16" s="114">
        <f t="shared" si="60"/>
        <v>2</v>
      </c>
      <c r="P16" s="114">
        <f t="shared" si="19"/>
        <v>1</v>
      </c>
      <c r="Q16" s="115">
        <f t="shared" si="20"/>
        <v>15</v>
      </c>
      <c r="R16" s="82">
        <f t="shared" ref="R16:R19" si="91">Q16*1.2</f>
        <v>18</v>
      </c>
      <c r="S16" s="116">
        <f t="shared" si="22"/>
        <v>10</v>
      </c>
      <c r="T16" s="80">
        <f t="shared" si="23"/>
        <v>3.75</v>
      </c>
      <c r="U16" s="80">
        <f t="shared" si="83"/>
        <v>3.5</v>
      </c>
      <c r="V16" s="82">
        <f t="shared" si="84"/>
        <v>10.5</v>
      </c>
      <c r="W16" s="82">
        <f t="shared" si="24"/>
        <v>10.5</v>
      </c>
      <c r="X16" s="80">
        <f t="shared" si="25"/>
        <v>4.5</v>
      </c>
      <c r="Y16" s="80">
        <f t="shared" si="26"/>
        <v>2.7</v>
      </c>
      <c r="Z16" s="80">
        <f t="shared" si="27"/>
        <v>2</v>
      </c>
      <c r="AA16" s="80">
        <f t="shared" si="28"/>
        <v>6</v>
      </c>
      <c r="AB16" s="80">
        <v>3</v>
      </c>
      <c r="AC16" s="82">
        <v>1</v>
      </c>
      <c r="AD16" s="80">
        <f t="shared" si="29"/>
        <v>1.35</v>
      </c>
      <c r="AE16" s="80">
        <v>5</v>
      </c>
      <c r="AF16" s="82">
        <f t="shared" si="30"/>
        <v>5</v>
      </c>
      <c r="AG16" s="82">
        <f t="shared" si="31"/>
        <v>1.35</v>
      </c>
      <c r="AH16" s="82">
        <v>3</v>
      </c>
      <c r="AI16" s="80">
        <f t="shared" si="32"/>
        <v>3</v>
      </c>
      <c r="AJ16" s="80">
        <f t="shared" si="33"/>
        <v>3.5</v>
      </c>
      <c r="AK16" s="115">
        <f t="shared" si="34"/>
        <v>2</v>
      </c>
      <c r="AL16" s="82">
        <f t="shared" si="35"/>
        <v>6</v>
      </c>
      <c r="AM16" s="82">
        <f t="shared" si="36"/>
        <v>5</v>
      </c>
      <c r="AN16" s="82">
        <f t="shared" si="37"/>
        <v>3</v>
      </c>
      <c r="AO16" s="82">
        <f t="shared" si="38"/>
        <v>5600</v>
      </c>
      <c r="AP16" s="82">
        <f t="shared" si="61"/>
        <v>1.1000000000000001</v>
      </c>
      <c r="AQ16" s="82">
        <v>0.1</v>
      </c>
      <c r="AR16" s="82">
        <f t="shared" si="39"/>
        <v>0.05</v>
      </c>
      <c r="AS16" s="82">
        <f t="shared" si="40"/>
        <v>0.05</v>
      </c>
      <c r="AT16" s="82">
        <f t="shared" si="41"/>
        <v>0.1</v>
      </c>
      <c r="AU16" s="82">
        <v>2</v>
      </c>
      <c r="AV16" s="82">
        <v>0</v>
      </c>
      <c r="AW16" s="82">
        <f t="shared" si="44"/>
        <v>0</v>
      </c>
      <c r="AX16" s="82">
        <f t="shared" si="45"/>
        <v>0</v>
      </c>
      <c r="AY16" s="82">
        <f t="shared" si="45"/>
        <v>0</v>
      </c>
      <c r="AZ16" s="82">
        <f t="shared" si="46"/>
        <v>0.5</v>
      </c>
      <c r="BA16" s="82">
        <f t="shared" si="47"/>
        <v>2800</v>
      </c>
      <c r="BB16" s="82">
        <f t="shared" si="48"/>
        <v>2800</v>
      </c>
      <c r="BC16" s="82">
        <f t="shared" si="49"/>
        <v>2800</v>
      </c>
      <c r="BD16" s="115">
        <f t="shared" si="50"/>
        <v>2800</v>
      </c>
      <c r="BE16" s="115">
        <f t="shared" si="51"/>
        <v>2800</v>
      </c>
      <c r="BF16" s="115">
        <f t="shared" si="52"/>
        <v>2800</v>
      </c>
      <c r="BG16" s="115">
        <f t="shared" si="3"/>
        <v>35</v>
      </c>
      <c r="BH16" s="115">
        <f t="shared" ref="BH16" si="92">BG16</f>
        <v>35</v>
      </c>
      <c r="BI16" s="115">
        <f t="shared" si="5"/>
        <v>40</v>
      </c>
      <c r="BJ16" s="115">
        <f t="shared" ref="BJ16" si="93">BI16</f>
        <v>40</v>
      </c>
      <c r="BK16" s="115">
        <f t="shared" ref="BK16:BL16" si="94">BJ16</f>
        <v>40</v>
      </c>
      <c r="BL16" s="115">
        <f t="shared" si="94"/>
        <v>40</v>
      </c>
      <c r="BM16" s="115">
        <f t="shared" si="8"/>
        <v>3</v>
      </c>
      <c r="BN16" s="115">
        <f t="shared" si="56"/>
        <v>2</v>
      </c>
      <c r="BO16" s="115">
        <f t="shared" si="57"/>
        <v>4200</v>
      </c>
      <c r="BP16" s="115">
        <f t="shared" si="58"/>
        <v>21000</v>
      </c>
      <c r="BQ16" s="115">
        <f t="shared" si="9"/>
        <v>35</v>
      </c>
      <c r="BR16" s="116">
        <f t="shared" si="10"/>
        <v>242</v>
      </c>
      <c r="BS16" s="116">
        <f t="shared" si="11"/>
        <v>120</v>
      </c>
    </row>
    <row r="17" spans="2:71" x14ac:dyDescent="0.25">
      <c r="B17" s="80">
        <f t="shared" si="59"/>
        <v>13</v>
      </c>
      <c r="C17" s="81" t="s">
        <v>131</v>
      </c>
      <c r="D17" s="87">
        <v>3790</v>
      </c>
      <c r="E17" s="87">
        <f t="shared" ref="E17:E48" si="95">F17*100</f>
        <v>1000</v>
      </c>
      <c r="F17" s="82">
        <f t="shared" ref="F17:F48" si="96">IF(D17&lt;20000,10,20)</f>
        <v>10</v>
      </c>
      <c r="G17" s="80">
        <f t="shared" ref="G17:G48" si="97">F17*10</f>
        <v>100</v>
      </c>
      <c r="H17" s="83">
        <f t="shared" ref="H17:H48" si="98">D17/600</f>
        <v>6</v>
      </c>
      <c r="I17" s="84">
        <f t="shared" ref="I17:I48" si="99">IF(D17&lt;10000,200,400)</f>
        <v>200</v>
      </c>
      <c r="J17" s="114">
        <f t="shared" si="15"/>
        <v>2</v>
      </c>
      <c r="K17" s="114">
        <f t="shared" si="16"/>
        <v>2</v>
      </c>
      <c r="L17" s="114">
        <f t="shared" ref="L17:L48" si="100">J17</f>
        <v>2</v>
      </c>
      <c r="M17" s="114">
        <f t="shared" si="17"/>
        <v>3</v>
      </c>
      <c r="N17" s="114">
        <f t="shared" ref="N17:N48" si="101">M17/2</f>
        <v>2</v>
      </c>
      <c r="O17" s="114">
        <f t="shared" ref="O17:O48" si="102">N17</f>
        <v>2</v>
      </c>
      <c r="P17" s="114">
        <f t="shared" ref="P17:P48" si="103">O17/2</f>
        <v>1</v>
      </c>
      <c r="Q17" s="115">
        <f t="shared" si="20"/>
        <v>15</v>
      </c>
      <c r="R17" s="82">
        <f t="shared" si="91"/>
        <v>18</v>
      </c>
      <c r="S17" s="116">
        <f>Q17</f>
        <v>15</v>
      </c>
      <c r="T17" s="80">
        <f t="shared" ref="T17:T48" si="104">Q17/4</f>
        <v>3.75</v>
      </c>
      <c r="U17" s="80">
        <f t="shared" si="83"/>
        <v>3.5</v>
      </c>
      <c r="V17" s="82">
        <f t="shared" si="84"/>
        <v>10.5</v>
      </c>
      <c r="W17" s="82">
        <f t="shared" si="24"/>
        <v>10.5</v>
      </c>
      <c r="X17" s="80">
        <f t="shared" si="25"/>
        <v>4.5</v>
      </c>
      <c r="Y17" s="80">
        <f t="shared" si="26"/>
        <v>2.7</v>
      </c>
      <c r="Z17" s="80">
        <f t="shared" si="27"/>
        <v>2</v>
      </c>
      <c r="AA17" s="80">
        <f t="shared" si="28"/>
        <v>6</v>
      </c>
      <c r="AB17" s="80">
        <v>3</v>
      </c>
      <c r="AC17" s="82">
        <v>1</v>
      </c>
      <c r="AD17" s="80">
        <f t="shared" si="29"/>
        <v>1.35</v>
      </c>
      <c r="AE17" s="80">
        <v>5</v>
      </c>
      <c r="AF17" s="82">
        <f t="shared" si="30"/>
        <v>5</v>
      </c>
      <c r="AG17" s="82">
        <f t="shared" ref="AG17:AG48" si="105">AD17</f>
        <v>1.35</v>
      </c>
      <c r="AH17" s="82">
        <v>3</v>
      </c>
      <c r="AI17" s="80">
        <f t="shared" si="32"/>
        <v>3</v>
      </c>
      <c r="AJ17" s="80">
        <f t="shared" si="33"/>
        <v>3.5</v>
      </c>
      <c r="AK17" s="115">
        <f t="shared" si="34"/>
        <v>2</v>
      </c>
      <c r="AL17" s="82">
        <f t="shared" si="35"/>
        <v>6</v>
      </c>
      <c r="AM17" s="82">
        <f t="shared" ref="AM17:AM48" si="106">AF17</f>
        <v>5</v>
      </c>
      <c r="AN17" s="82">
        <f t="shared" ref="AN17:AN48" si="107">AI17</f>
        <v>3</v>
      </c>
      <c r="AO17" s="82">
        <f t="shared" si="38"/>
        <v>5600</v>
      </c>
      <c r="AP17" s="82">
        <f t="shared" si="61"/>
        <v>1.1000000000000001</v>
      </c>
      <c r="AQ17" s="82">
        <v>0.1</v>
      </c>
      <c r="AR17" s="82">
        <f t="shared" si="39"/>
        <v>0.05</v>
      </c>
      <c r="AS17" s="82">
        <f t="shared" si="40"/>
        <v>0.05</v>
      </c>
      <c r="AT17" s="82">
        <f t="shared" si="41"/>
        <v>0.1</v>
      </c>
      <c r="AU17" s="82">
        <v>2</v>
      </c>
      <c r="AV17" s="82">
        <f t="shared" si="43"/>
        <v>0.1</v>
      </c>
      <c r="AW17" s="82">
        <f t="shared" si="44"/>
        <v>0.2</v>
      </c>
      <c r="AX17" s="82">
        <f t="shared" si="45"/>
        <v>0.2</v>
      </c>
      <c r="AY17" s="82">
        <f t="shared" si="45"/>
        <v>0.2</v>
      </c>
      <c r="AZ17" s="82">
        <f t="shared" si="46"/>
        <v>0.5</v>
      </c>
      <c r="BA17" s="82">
        <v>1800</v>
      </c>
      <c r="BB17" s="82">
        <f t="shared" si="48"/>
        <v>1800</v>
      </c>
      <c r="BC17" s="82">
        <f t="shared" si="49"/>
        <v>1800</v>
      </c>
      <c r="BD17" s="115">
        <f t="shared" si="50"/>
        <v>1800</v>
      </c>
      <c r="BE17" s="115">
        <f t="shared" si="51"/>
        <v>1800</v>
      </c>
      <c r="BF17" s="115">
        <f t="shared" si="52"/>
        <v>1800</v>
      </c>
      <c r="BG17" s="115">
        <v>57</v>
      </c>
      <c r="BH17" s="115">
        <f t="shared" ref="BH17:BH41" si="108">BG17</f>
        <v>57</v>
      </c>
      <c r="BI17" s="115">
        <f t="shared" si="5"/>
        <v>40</v>
      </c>
      <c r="BJ17" s="115">
        <f t="shared" ref="BJ17:BJ41" si="109">BI17</f>
        <v>40</v>
      </c>
      <c r="BK17" s="115">
        <f t="shared" ref="BK17:BK41" si="110">BJ17</f>
        <v>40</v>
      </c>
      <c r="BL17" s="115">
        <f t="shared" ref="BL17:BL41" si="111">BK17</f>
        <v>40</v>
      </c>
      <c r="BM17" s="115">
        <f t="shared" si="8"/>
        <v>3</v>
      </c>
      <c r="BN17" s="115">
        <f t="shared" ref="BN17:BN29" si="112">BM17/1.5</f>
        <v>2</v>
      </c>
      <c r="BO17" s="115">
        <f t="shared" si="57"/>
        <v>2700</v>
      </c>
      <c r="BP17" s="115">
        <f t="shared" ref="BP17:BP29" si="113">BO17*5</f>
        <v>13500</v>
      </c>
      <c r="BQ17" s="115">
        <f t="shared" si="9"/>
        <v>57</v>
      </c>
      <c r="BR17" s="116">
        <f t="shared" si="10"/>
        <v>126</v>
      </c>
      <c r="BS17" s="116">
        <f t="shared" si="11"/>
        <v>120</v>
      </c>
    </row>
    <row r="18" spans="2:71" x14ac:dyDescent="0.25">
      <c r="B18" s="80">
        <f t="shared" si="59"/>
        <v>14</v>
      </c>
      <c r="C18" s="81" t="str">
        <f>[7]Planilha1!C19</f>
        <v>Dionísio</v>
      </c>
      <c r="D18" s="87">
        <f>[7]Planilha1!D19</f>
        <v>8739</v>
      </c>
      <c r="E18" s="87">
        <f t="shared" si="95"/>
        <v>1000</v>
      </c>
      <c r="F18" s="82">
        <f t="shared" si="96"/>
        <v>10</v>
      </c>
      <c r="G18" s="80">
        <f t="shared" si="97"/>
        <v>100</v>
      </c>
      <c r="H18" s="83">
        <f t="shared" si="98"/>
        <v>15</v>
      </c>
      <c r="I18" s="84">
        <f t="shared" si="99"/>
        <v>200</v>
      </c>
      <c r="J18" s="114">
        <f t="shared" si="15"/>
        <v>2</v>
      </c>
      <c r="K18" s="114">
        <f t="shared" si="16"/>
        <v>2</v>
      </c>
      <c r="L18" s="114">
        <f t="shared" si="100"/>
        <v>2</v>
      </c>
      <c r="M18" s="114">
        <f t="shared" si="17"/>
        <v>3</v>
      </c>
      <c r="N18" s="114">
        <f t="shared" si="101"/>
        <v>2</v>
      </c>
      <c r="O18" s="114">
        <f t="shared" si="102"/>
        <v>2</v>
      </c>
      <c r="P18" s="114">
        <f t="shared" si="103"/>
        <v>1</v>
      </c>
      <c r="Q18" s="115">
        <f t="shared" si="20"/>
        <v>15</v>
      </c>
      <c r="R18" s="82">
        <f t="shared" si="91"/>
        <v>18</v>
      </c>
      <c r="S18" s="116">
        <f>Q18</f>
        <v>15</v>
      </c>
      <c r="T18" s="80">
        <f t="shared" si="104"/>
        <v>3.75</v>
      </c>
      <c r="U18" s="80">
        <f t="shared" si="83"/>
        <v>3.5</v>
      </c>
      <c r="V18" s="82">
        <f t="shared" si="84"/>
        <v>10.5</v>
      </c>
      <c r="W18" s="82">
        <f t="shared" ref="W18:W48" si="114">V18</f>
        <v>10.5</v>
      </c>
      <c r="X18" s="80">
        <f t="shared" si="25"/>
        <v>4.5</v>
      </c>
      <c r="Y18" s="80">
        <f t="shared" si="26"/>
        <v>2.7</v>
      </c>
      <c r="Z18" s="80">
        <f t="shared" si="27"/>
        <v>2</v>
      </c>
      <c r="AA18" s="80">
        <f t="shared" si="28"/>
        <v>6</v>
      </c>
      <c r="AB18" s="80">
        <v>3</v>
      </c>
      <c r="AC18" s="82">
        <v>1</v>
      </c>
      <c r="AD18" s="80">
        <f t="shared" si="29"/>
        <v>1.35</v>
      </c>
      <c r="AE18" s="80">
        <v>5</v>
      </c>
      <c r="AF18" s="82">
        <f t="shared" si="30"/>
        <v>5</v>
      </c>
      <c r="AG18" s="82">
        <f t="shared" si="105"/>
        <v>1.35</v>
      </c>
      <c r="AH18" s="82">
        <v>3</v>
      </c>
      <c r="AI18" s="80">
        <f t="shared" si="32"/>
        <v>3</v>
      </c>
      <c r="AJ18" s="80">
        <f t="shared" si="33"/>
        <v>3.5</v>
      </c>
      <c r="AK18" s="115">
        <f t="shared" si="34"/>
        <v>2</v>
      </c>
      <c r="AL18" s="82">
        <f t="shared" si="35"/>
        <v>6</v>
      </c>
      <c r="AM18" s="82">
        <f t="shared" si="106"/>
        <v>5</v>
      </c>
      <c r="AN18" s="82">
        <f t="shared" si="107"/>
        <v>3</v>
      </c>
      <c r="AO18" s="82">
        <f t="shared" si="38"/>
        <v>5600</v>
      </c>
      <c r="AP18" s="82">
        <f t="shared" si="61"/>
        <v>1.1000000000000001</v>
      </c>
      <c r="AQ18" s="82">
        <v>0.1</v>
      </c>
      <c r="AR18" s="82">
        <f t="shared" si="39"/>
        <v>0.05</v>
      </c>
      <c r="AS18" s="82">
        <f t="shared" si="40"/>
        <v>0.05</v>
      </c>
      <c r="AT18" s="82">
        <f t="shared" si="41"/>
        <v>0.1</v>
      </c>
      <c r="AU18" s="82">
        <v>2</v>
      </c>
      <c r="AV18" s="82">
        <f t="shared" si="43"/>
        <v>0.1</v>
      </c>
      <c r="AW18" s="82">
        <f t="shared" si="44"/>
        <v>0.2</v>
      </c>
      <c r="AX18" s="82">
        <f t="shared" si="45"/>
        <v>0.2</v>
      </c>
      <c r="AY18" s="82">
        <f t="shared" si="45"/>
        <v>0.2</v>
      </c>
      <c r="AZ18" s="82">
        <f t="shared" si="46"/>
        <v>0.5</v>
      </c>
      <c r="BA18" s="82">
        <v>1800</v>
      </c>
      <c r="BB18" s="82">
        <f t="shared" si="48"/>
        <v>1800</v>
      </c>
      <c r="BC18" s="82">
        <f t="shared" si="49"/>
        <v>1800</v>
      </c>
      <c r="BD18" s="115">
        <f t="shared" si="50"/>
        <v>1800</v>
      </c>
      <c r="BE18" s="115">
        <f t="shared" si="51"/>
        <v>1800</v>
      </c>
      <c r="BF18" s="115">
        <f t="shared" si="52"/>
        <v>1800</v>
      </c>
      <c r="BG18" s="115">
        <f t="shared" ref="BG18:BG48" si="115">AO18/160</f>
        <v>35</v>
      </c>
      <c r="BH18" s="115">
        <f t="shared" si="108"/>
        <v>35</v>
      </c>
      <c r="BI18" s="115">
        <f t="shared" si="5"/>
        <v>40</v>
      </c>
      <c r="BJ18" s="115">
        <f t="shared" si="109"/>
        <v>40</v>
      </c>
      <c r="BK18" s="115">
        <f t="shared" si="110"/>
        <v>40</v>
      </c>
      <c r="BL18" s="115">
        <f t="shared" si="111"/>
        <v>40</v>
      </c>
      <c r="BM18" s="115">
        <f t="shared" si="8"/>
        <v>3</v>
      </c>
      <c r="BN18" s="115">
        <f t="shared" si="112"/>
        <v>2</v>
      </c>
      <c r="BO18" s="115">
        <f t="shared" si="57"/>
        <v>2700</v>
      </c>
      <c r="BP18" s="115">
        <f t="shared" si="113"/>
        <v>13500</v>
      </c>
      <c r="BQ18" s="115">
        <f t="shared" si="9"/>
        <v>35</v>
      </c>
      <c r="BR18" s="116">
        <f t="shared" si="10"/>
        <v>291</v>
      </c>
      <c r="BS18" s="116">
        <f t="shared" si="11"/>
        <v>120</v>
      </c>
    </row>
    <row r="19" spans="2:71" x14ac:dyDescent="0.25">
      <c r="B19" s="80">
        <f t="shared" si="59"/>
        <v>15</v>
      </c>
      <c r="C19" s="81" t="str">
        <f>[7]Planilha1!C20</f>
        <v>Dom Silvério</v>
      </c>
      <c r="D19" s="87">
        <f>[7]Planilha1!D20</f>
        <v>5196</v>
      </c>
      <c r="E19" s="87">
        <f t="shared" si="95"/>
        <v>1000</v>
      </c>
      <c r="F19" s="82">
        <f t="shared" si="96"/>
        <v>10</v>
      </c>
      <c r="G19" s="80">
        <f t="shared" si="97"/>
        <v>100</v>
      </c>
      <c r="H19" s="83">
        <f t="shared" si="98"/>
        <v>9</v>
      </c>
      <c r="I19" s="84">
        <f t="shared" si="99"/>
        <v>200</v>
      </c>
      <c r="J19" s="114">
        <f t="shared" si="15"/>
        <v>2</v>
      </c>
      <c r="K19" s="114">
        <f t="shared" si="16"/>
        <v>2</v>
      </c>
      <c r="L19" s="114">
        <f t="shared" si="100"/>
        <v>2</v>
      </c>
      <c r="M19" s="114">
        <f t="shared" si="17"/>
        <v>3</v>
      </c>
      <c r="N19" s="114">
        <f t="shared" si="101"/>
        <v>2</v>
      </c>
      <c r="O19" s="114">
        <f t="shared" si="102"/>
        <v>2</v>
      </c>
      <c r="P19" s="114">
        <f t="shared" si="103"/>
        <v>1</v>
      </c>
      <c r="Q19" s="115">
        <f t="shared" si="20"/>
        <v>15</v>
      </c>
      <c r="R19" s="82">
        <f t="shared" si="91"/>
        <v>18</v>
      </c>
      <c r="S19" s="116">
        <f>Q19</f>
        <v>15</v>
      </c>
      <c r="T19" s="80">
        <f t="shared" si="104"/>
        <v>3.75</v>
      </c>
      <c r="U19" s="80">
        <f t="shared" si="83"/>
        <v>3.5</v>
      </c>
      <c r="V19" s="82">
        <f t="shared" si="84"/>
        <v>10.5</v>
      </c>
      <c r="W19" s="82">
        <f t="shared" si="114"/>
        <v>10.5</v>
      </c>
      <c r="X19" s="80">
        <f t="shared" si="25"/>
        <v>4.5</v>
      </c>
      <c r="Y19" s="80">
        <f t="shared" si="26"/>
        <v>2.7</v>
      </c>
      <c r="Z19" s="80">
        <f t="shared" si="27"/>
        <v>2</v>
      </c>
      <c r="AA19" s="80">
        <f t="shared" si="28"/>
        <v>6</v>
      </c>
      <c r="AB19" s="80">
        <v>3</v>
      </c>
      <c r="AC19" s="82">
        <v>1</v>
      </c>
      <c r="AD19" s="80">
        <f t="shared" si="29"/>
        <v>1.35</v>
      </c>
      <c r="AE19" s="80">
        <f t="shared" ref="AE19:AE48" si="116">Y19*2</f>
        <v>5.4</v>
      </c>
      <c r="AF19" s="82">
        <f t="shared" si="30"/>
        <v>5.4</v>
      </c>
      <c r="AG19" s="82">
        <f t="shared" si="105"/>
        <v>1.35</v>
      </c>
      <c r="AH19" s="82">
        <v>3</v>
      </c>
      <c r="AI19" s="80">
        <f t="shared" si="32"/>
        <v>3</v>
      </c>
      <c r="AJ19" s="80">
        <f t="shared" si="33"/>
        <v>3.5</v>
      </c>
      <c r="AK19" s="115">
        <f t="shared" si="34"/>
        <v>2</v>
      </c>
      <c r="AL19" s="82">
        <f t="shared" si="35"/>
        <v>6</v>
      </c>
      <c r="AM19" s="82">
        <f t="shared" si="106"/>
        <v>5.4</v>
      </c>
      <c r="AN19" s="82">
        <f t="shared" si="107"/>
        <v>3</v>
      </c>
      <c r="AO19" s="82">
        <f t="shared" si="38"/>
        <v>5600</v>
      </c>
      <c r="AP19" s="82">
        <f t="shared" si="61"/>
        <v>1.1000000000000001</v>
      </c>
      <c r="AQ19" s="82">
        <v>0</v>
      </c>
      <c r="AR19" s="82">
        <f t="shared" si="39"/>
        <v>0</v>
      </c>
      <c r="AS19" s="82">
        <f t="shared" si="40"/>
        <v>0</v>
      </c>
      <c r="AT19" s="82">
        <f t="shared" si="41"/>
        <v>0</v>
      </c>
      <c r="AU19" s="82">
        <v>2</v>
      </c>
      <c r="AV19" s="82">
        <f t="shared" si="43"/>
        <v>0</v>
      </c>
      <c r="AW19" s="82">
        <f t="shared" si="44"/>
        <v>0</v>
      </c>
      <c r="AX19" s="82">
        <f t="shared" si="45"/>
        <v>0</v>
      </c>
      <c r="AY19" s="82">
        <f t="shared" si="45"/>
        <v>0</v>
      </c>
      <c r="AZ19" s="82">
        <f t="shared" si="46"/>
        <v>0</v>
      </c>
      <c r="BA19" s="82">
        <f t="shared" si="47"/>
        <v>2800</v>
      </c>
      <c r="BB19" s="82">
        <f t="shared" si="48"/>
        <v>2800</v>
      </c>
      <c r="BC19" s="82">
        <f t="shared" si="49"/>
        <v>2800</v>
      </c>
      <c r="BD19" s="115">
        <f t="shared" si="50"/>
        <v>2800</v>
      </c>
      <c r="BE19" s="115">
        <f t="shared" si="51"/>
        <v>2800</v>
      </c>
      <c r="BF19" s="115">
        <f t="shared" si="52"/>
        <v>2800</v>
      </c>
      <c r="BG19" s="115">
        <f t="shared" si="115"/>
        <v>35</v>
      </c>
      <c r="BH19" s="115">
        <f t="shared" si="108"/>
        <v>35</v>
      </c>
      <c r="BI19" s="115">
        <f t="shared" si="5"/>
        <v>40</v>
      </c>
      <c r="BJ19" s="115">
        <f t="shared" si="109"/>
        <v>40</v>
      </c>
      <c r="BK19" s="115">
        <f t="shared" si="110"/>
        <v>40</v>
      </c>
      <c r="BL19" s="115">
        <f t="shared" si="111"/>
        <v>40</v>
      </c>
      <c r="BM19" s="115">
        <f t="shared" si="8"/>
        <v>3</v>
      </c>
      <c r="BN19" s="115">
        <f t="shared" si="112"/>
        <v>2</v>
      </c>
      <c r="BO19" s="115">
        <f t="shared" si="57"/>
        <v>4200</v>
      </c>
      <c r="BP19" s="115">
        <f t="shared" si="113"/>
        <v>21000</v>
      </c>
      <c r="BQ19" s="115">
        <f t="shared" si="9"/>
        <v>35</v>
      </c>
      <c r="BR19" s="116">
        <f t="shared" si="10"/>
        <v>173</v>
      </c>
      <c r="BS19" s="116">
        <f t="shared" si="11"/>
        <v>120</v>
      </c>
    </row>
    <row r="20" spans="2:71" x14ac:dyDescent="0.25">
      <c r="B20" s="80">
        <f t="shared" si="59"/>
        <v>16</v>
      </c>
      <c r="C20" s="81" t="s">
        <v>132</v>
      </c>
      <c r="D20" s="87">
        <v>10315</v>
      </c>
      <c r="E20" s="87">
        <f t="shared" si="95"/>
        <v>1000</v>
      </c>
      <c r="F20" s="82">
        <f t="shared" si="96"/>
        <v>10</v>
      </c>
      <c r="G20" s="80">
        <f t="shared" si="97"/>
        <v>100</v>
      </c>
      <c r="H20" s="83">
        <f t="shared" si="98"/>
        <v>17</v>
      </c>
      <c r="I20" s="84">
        <f t="shared" si="99"/>
        <v>400</v>
      </c>
      <c r="J20" s="114">
        <f t="shared" si="15"/>
        <v>5</v>
      </c>
      <c r="K20" s="114">
        <f t="shared" si="16"/>
        <v>4</v>
      </c>
      <c r="L20" s="114">
        <f t="shared" si="100"/>
        <v>5</v>
      </c>
      <c r="M20" s="114">
        <f t="shared" si="17"/>
        <v>6</v>
      </c>
      <c r="N20" s="114">
        <f t="shared" si="101"/>
        <v>3</v>
      </c>
      <c r="O20" s="114">
        <f t="shared" si="102"/>
        <v>3</v>
      </c>
      <c r="P20" s="114">
        <f t="shared" si="103"/>
        <v>2</v>
      </c>
      <c r="Q20" s="115">
        <f t="shared" si="20"/>
        <v>25</v>
      </c>
      <c r="R20" s="82">
        <f>Q20*1.2</f>
        <v>30</v>
      </c>
      <c r="S20" s="116">
        <f>Q20</f>
        <v>25</v>
      </c>
      <c r="T20" s="80">
        <f t="shared" si="104"/>
        <v>6.25</v>
      </c>
      <c r="U20" s="80">
        <f t="shared" si="83"/>
        <v>3.5</v>
      </c>
      <c r="V20" s="82">
        <f t="shared" si="84"/>
        <v>10.5</v>
      </c>
      <c r="W20" s="82">
        <f t="shared" si="114"/>
        <v>10.5</v>
      </c>
      <c r="X20" s="80">
        <f t="shared" si="25"/>
        <v>4.5</v>
      </c>
      <c r="Y20" s="80">
        <f t="shared" si="26"/>
        <v>2.7</v>
      </c>
      <c r="Z20" s="80">
        <f t="shared" si="27"/>
        <v>3</v>
      </c>
      <c r="AA20" s="80">
        <v>8</v>
      </c>
      <c r="AB20" s="80">
        <f t="shared" ref="AB20:AB48" si="117">T20</f>
        <v>6.25</v>
      </c>
      <c r="AC20" s="82">
        <v>1</v>
      </c>
      <c r="AD20" s="80">
        <f t="shared" si="29"/>
        <v>1.35</v>
      </c>
      <c r="AE20" s="80">
        <f t="shared" si="116"/>
        <v>5.4</v>
      </c>
      <c r="AF20" s="82">
        <f t="shared" si="30"/>
        <v>5.4</v>
      </c>
      <c r="AG20" s="82">
        <f t="shared" si="105"/>
        <v>1.35</v>
      </c>
      <c r="AH20" s="82">
        <v>3</v>
      </c>
      <c r="AI20" s="80">
        <f t="shared" si="32"/>
        <v>3</v>
      </c>
      <c r="AJ20" s="80">
        <f t="shared" si="33"/>
        <v>3.5</v>
      </c>
      <c r="AK20" s="115">
        <f t="shared" si="34"/>
        <v>4</v>
      </c>
      <c r="AL20" s="82">
        <f t="shared" si="35"/>
        <v>8</v>
      </c>
      <c r="AM20" s="82">
        <f t="shared" si="106"/>
        <v>5.4</v>
      </c>
      <c r="AN20" s="82">
        <f t="shared" si="107"/>
        <v>3</v>
      </c>
      <c r="AO20" s="82">
        <f t="shared" si="38"/>
        <v>9600</v>
      </c>
      <c r="AP20" s="82">
        <f t="shared" si="61"/>
        <v>1.1000000000000001</v>
      </c>
      <c r="AQ20" s="82">
        <v>0.1</v>
      </c>
      <c r="AR20" s="82">
        <f t="shared" si="39"/>
        <v>0.05</v>
      </c>
      <c r="AS20" s="82">
        <f t="shared" si="40"/>
        <v>0.05</v>
      </c>
      <c r="AT20" s="82">
        <f t="shared" si="41"/>
        <v>0.1</v>
      </c>
      <c r="AU20" s="82">
        <v>2</v>
      </c>
      <c r="AV20" s="82">
        <f t="shared" si="43"/>
        <v>0.1</v>
      </c>
      <c r="AW20" s="82">
        <f t="shared" si="44"/>
        <v>0.2</v>
      </c>
      <c r="AX20" s="82">
        <f t="shared" si="45"/>
        <v>0.2</v>
      </c>
      <c r="AY20" s="82">
        <f t="shared" si="45"/>
        <v>0.2</v>
      </c>
      <c r="AZ20" s="82">
        <f t="shared" si="46"/>
        <v>0.5</v>
      </c>
      <c r="BA20" s="82">
        <f t="shared" si="47"/>
        <v>4800</v>
      </c>
      <c r="BB20" s="82">
        <f t="shared" si="48"/>
        <v>4800</v>
      </c>
      <c r="BC20" s="82">
        <f t="shared" si="49"/>
        <v>4800</v>
      </c>
      <c r="BD20" s="115">
        <f t="shared" si="50"/>
        <v>4800</v>
      </c>
      <c r="BE20" s="115">
        <f t="shared" si="51"/>
        <v>4800</v>
      </c>
      <c r="BF20" s="115">
        <f t="shared" si="52"/>
        <v>4800</v>
      </c>
      <c r="BG20" s="115">
        <f t="shared" si="115"/>
        <v>60</v>
      </c>
      <c r="BH20" s="115">
        <f t="shared" si="108"/>
        <v>60</v>
      </c>
      <c r="BI20" s="115">
        <v>49</v>
      </c>
      <c r="BJ20" s="115">
        <f t="shared" si="109"/>
        <v>49</v>
      </c>
      <c r="BK20" s="115">
        <f t="shared" si="110"/>
        <v>49</v>
      </c>
      <c r="BL20" s="115">
        <f t="shared" si="111"/>
        <v>49</v>
      </c>
      <c r="BM20" s="115">
        <f t="shared" si="8"/>
        <v>8</v>
      </c>
      <c r="BN20" s="115">
        <f t="shared" si="112"/>
        <v>5</v>
      </c>
      <c r="BO20" s="115">
        <f t="shared" si="57"/>
        <v>7200</v>
      </c>
      <c r="BP20" s="115">
        <f t="shared" si="113"/>
        <v>36000</v>
      </c>
      <c r="BQ20" s="115">
        <f t="shared" si="9"/>
        <v>60</v>
      </c>
      <c r="BR20" s="116">
        <f t="shared" si="10"/>
        <v>344</v>
      </c>
      <c r="BS20" s="116">
        <f t="shared" si="11"/>
        <v>160</v>
      </c>
    </row>
    <row r="21" spans="2:71" x14ac:dyDescent="0.25">
      <c r="B21" s="80">
        <f t="shared" si="59"/>
        <v>17</v>
      </c>
      <c r="C21" s="117" t="s">
        <v>133</v>
      </c>
      <c r="D21" s="118">
        <v>52446</v>
      </c>
      <c r="E21" s="87">
        <f t="shared" si="95"/>
        <v>2000</v>
      </c>
      <c r="F21" s="82">
        <f t="shared" si="96"/>
        <v>20</v>
      </c>
      <c r="G21" s="80">
        <f t="shared" si="97"/>
        <v>200</v>
      </c>
      <c r="H21" s="83">
        <f t="shared" si="98"/>
        <v>87</v>
      </c>
      <c r="I21" s="84">
        <f t="shared" si="99"/>
        <v>400</v>
      </c>
      <c r="J21" s="114">
        <f t="shared" si="15"/>
        <v>5</v>
      </c>
      <c r="K21" s="114">
        <f t="shared" si="16"/>
        <v>4</v>
      </c>
      <c r="L21" s="114">
        <f t="shared" si="100"/>
        <v>5</v>
      </c>
      <c r="M21" s="114">
        <f t="shared" si="17"/>
        <v>6</v>
      </c>
      <c r="N21" s="114">
        <f t="shared" si="101"/>
        <v>3</v>
      </c>
      <c r="O21" s="114">
        <f t="shared" si="102"/>
        <v>3</v>
      </c>
      <c r="P21" s="114">
        <f t="shared" si="103"/>
        <v>2</v>
      </c>
      <c r="Q21" s="115">
        <f>IF(I21&lt;201,15,20)</f>
        <v>20</v>
      </c>
      <c r="R21" s="82">
        <f t="shared" ref="R21:R48" si="118">Q21*1.2</f>
        <v>24</v>
      </c>
      <c r="S21" s="116">
        <f t="shared" si="22"/>
        <v>15</v>
      </c>
      <c r="T21" s="80">
        <f t="shared" si="104"/>
        <v>5</v>
      </c>
      <c r="U21" s="80">
        <f t="shared" si="83"/>
        <v>3.5</v>
      </c>
      <c r="V21" s="82">
        <f t="shared" si="84"/>
        <v>10.5</v>
      </c>
      <c r="W21" s="82">
        <f t="shared" si="114"/>
        <v>10.5</v>
      </c>
      <c r="X21" s="80">
        <f t="shared" si="25"/>
        <v>4.5</v>
      </c>
      <c r="Y21" s="80">
        <f t="shared" si="26"/>
        <v>2.7</v>
      </c>
      <c r="Z21" s="80">
        <f t="shared" si="27"/>
        <v>3</v>
      </c>
      <c r="AA21" s="80">
        <f t="shared" si="28"/>
        <v>8</v>
      </c>
      <c r="AB21" s="80">
        <f t="shared" si="117"/>
        <v>5</v>
      </c>
      <c r="AC21" s="82">
        <v>1</v>
      </c>
      <c r="AD21" s="80">
        <f t="shared" si="29"/>
        <v>1.35</v>
      </c>
      <c r="AE21" s="80">
        <f t="shared" si="116"/>
        <v>5.4</v>
      </c>
      <c r="AF21" s="82">
        <f t="shared" si="30"/>
        <v>5.4</v>
      </c>
      <c r="AG21" s="82">
        <f t="shared" si="105"/>
        <v>1.35</v>
      </c>
      <c r="AH21" s="82">
        <v>3</v>
      </c>
      <c r="AI21" s="80">
        <f t="shared" si="32"/>
        <v>3</v>
      </c>
      <c r="AJ21" s="80">
        <f t="shared" si="33"/>
        <v>3.5</v>
      </c>
      <c r="AK21" s="115">
        <f t="shared" si="34"/>
        <v>4</v>
      </c>
      <c r="AL21" s="82">
        <f t="shared" si="35"/>
        <v>8</v>
      </c>
      <c r="AM21" s="82">
        <f t="shared" si="106"/>
        <v>5.4</v>
      </c>
      <c r="AN21" s="82">
        <f t="shared" si="107"/>
        <v>3</v>
      </c>
      <c r="AO21" s="82">
        <f t="shared" si="38"/>
        <v>9600</v>
      </c>
      <c r="AP21" s="82">
        <f t="shared" si="61"/>
        <v>1.1000000000000001</v>
      </c>
      <c r="AQ21" s="82">
        <v>0.1</v>
      </c>
      <c r="AR21" s="82">
        <f t="shared" si="39"/>
        <v>0.05</v>
      </c>
      <c r="AS21" s="82">
        <f t="shared" si="40"/>
        <v>0.05</v>
      </c>
      <c r="AT21" s="82">
        <f t="shared" si="41"/>
        <v>0.1</v>
      </c>
      <c r="AU21" s="82">
        <v>2</v>
      </c>
      <c r="AV21" s="82">
        <v>0</v>
      </c>
      <c r="AW21" s="82">
        <f t="shared" si="44"/>
        <v>0</v>
      </c>
      <c r="AX21" s="82">
        <f t="shared" si="45"/>
        <v>0</v>
      </c>
      <c r="AY21" s="82">
        <f t="shared" si="45"/>
        <v>0</v>
      </c>
      <c r="AZ21" s="82">
        <f t="shared" si="46"/>
        <v>0.5</v>
      </c>
      <c r="BA21" s="82">
        <f t="shared" si="47"/>
        <v>4800</v>
      </c>
      <c r="BB21" s="82">
        <f t="shared" si="48"/>
        <v>4800</v>
      </c>
      <c r="BC21" s="82">
        <f t="shared" si="49"/>
        <v>4800</v>
      </c>
      <c r="BD21" s="115">
        <f t="shared" si="50"/>
        <v>4800</v>
      </c>
      <c r="BE21" s="115">
        <f t="shared" si="51"/>
        <v>4800</v>
      </c>
      <c r="BF21" s="115">
        <f t="shared" si="52"/>
        <v>4800</v>
      </c>
      <c r="BG21" s="115">
        <f t="shared" si="115"/>
        <v>60</v>
      </c>
      <c r="BH21" s="115">
        <f t="shared" si="108"/>
        <v>60</v>
      </c>
      <c r="BI21" s="115">
        <f t="shared" ref="BI21:BI48" si="119">AO21/140</f>
        <v>69</v>
      </c>
      <c r="BJ21" s="115">
        <f t="shared" si="109"/>
        <v>69</v>
      </c>
      <c r="BK21" s="115">
        <f t="shared" si="110"/>
        <v>69</v>
      </c>
      <c r="BL21" s="115">
        <f t="shared" si="111"/>
        <v>69</v>
      </c>
      <c r="BM21" s="115">
        <f t="shared" si="8"/>
        <v>8</v>
      </c>
      <c r="BN21" s="115">
        <f t="shared" si="112"/>
        <v>5</v>
      </c>
      <c r="BO21" s="115">
        <f t="shared" si="57"/>
        <v>7200</v>
      </c>
      <c r="BP21" s="115">
        <f t="shared" si="113"/>
        <v>36000</v>
      </c>
      <c r="BQ21" s="115">
        <f t="shared" si="9"/>
        <v>60</v>
      </c>
      <c r="BR21" s="116">
        <f t="shared" si="10"/>
        <v>1748</v>
      </c>
      <c r="BS21" s="116">
        <f t="shared" si="11"/>
        <v>160</v>
      </c>
    </row>
    <row r="22" spans="2:71" x14ac:dyDescent="0.25">
      <c r="B22" s="80">
        <f t="shared" si="59"/>
        <v>18</v>
      </c>
      <c r="C22" s="117" t="s">
        <v>134</v>
      </c>
      <c r="D22" s="118">
        <v>12315</v>
      </c>
      <c r="E22" s="87">
        <f t="shared" si="95"/>
        <v>1000</v>
      </c>
      <c r="F22" s="82">
        <f t="shared" si="96"/>
        <v>10</v>
      </c>
      <c r="G22" s="80">
        <f t="shared" si="97"/>
        <v>100</v>
      </c>
      <c r="H22" s="83">
        <f t="shared" si="98"/>
        <v>21</v>
      </c>
      <c r="I22" s="84">
        <f t="shared" si="99"/>
        <v>400</v>
      </c>
      <c r="J22" s="114">
        <f t="shared" si="15"/>
        <v>5</v>
      </c>
      <c r="K22" s="114">
        <f t="shared" si="16"/>
        <v>4</v>
      </c>
      <c r="L22" s="114">
        <f t="shared" si="100"/>
        <v>5</v>
      </c>
      <c r="M22" s="114">
        <f t="shared" si="17"/>
        <v>6</v>
      </c>
      <c r="N22" s="114">
        <f t="shared" si="101"/>
        <v>3</v>
      </c>
      <c r="O22" s="114">
        <f t="shared" si="102"/>
        <v>3</v>
      </c>
      <c r="P22" s="114">
        <f t="shared" si="103"/>
        <v>2</v>
      </c>
      <c r="Q22" s="115">
        <f t="shared" si="20"/>
        <v>25</v>
      </c>
      <c r="R22" s="82">
        <f t="shared" si="118"/>
        <v>30</v>
      </c>
      <c r="S22" s="116">
        <f t="shared" si="22"/>
        <v>20</v>
      </c>
      <c r="T22" s="80">
        <f t="shared" si="104"/>
        <v>6.25</v>
      </c>
      <c r="U22" s="80">
        <f t="shared" si="83"/>
        <v>3.5</v>
      </c>
      <c r="V22" s="82">
        <f t="shared" si="84"/>
        <v>10.5</v>
      </c>
      <c r="W22" s="82">
        <f t="shared" si="114"/>
        <v>10.5</v>
      </c>
      <c r="X22" s="80">
        <v>5</v>
      </c>
      <c r="Y22" s="80">
        <v>4</v>
      </c>
      <c r="Z22" s="80">
        <f t="shared" si="27"/>
        <v>3</v>
      </c>
      <c r="AA22" s="80">
        <v>8</v>
      </c>
      <c r="AB22" s="80">
        <f t="shared" si="117"/>
        <v>6.25</v>
      </c>
      <c r="AC22" s="82">
        <v>1</v>
      </c>
      <c r="AD22" s="80">
        <f t="shared" si="29"/>
        <v>2</v>
      </c>
      <c r="AE22" s="80">
        <f t="shared" si="116"/>
        <v>8</v>
      </c>
      <c r="AF22" s="82">
        <f t="shared" si="30"/>
        <v>8</v>
      </c>
      <c r="AG22" s="82">
        <f t="shared" si="105"/>
        <v>2</v>
      </c>
      <c r="AH22" s="82">
        <f t="shared" ref="AH22:AH48" si="120">AG22*2</f>
        <v>4</v>
      </c>
      <c r="AI22" s="80">
        <f t="shared" si="32"/>
        <v>4</v>
      </c>
      <c r="AJ22" s="80">
        <f t="shared" si="33"/>
        <v>3.5</v>
      </c>
      <c r="AK22" s="115">
        <f t="shared" si="34"/>
        <v>4</v>
      </c>
      <c r="AL22" s="82">
        <f t="shared" si="35"/>
        <v>8</v>
      </c>
      <c r="AM22" s="82">
        <f t="shared" si="106"/>
        <v>8</v>
      </c>
      <c r="AN22" s="82">
        <f t="shared" si="107"/>
        <v>4</v>
      </c>
      <c r="AO22" s="82">
        <f t="shared" si="38"/>
        <v>9600</v>
      </c>
      <c r="AP22" s="82">
        <f t="shared" si="61"/>
        <v>1.1000000000000001</v>
      </c>
      <c r="AQ22" s="82">
        <v>0.1</v>
      </c>
      <c r="AR22" s="82">
        <f t="shared" si="39"/>
        <v>0.05</v>
      </c>
      <c r="AS22" s="82">
        <f t="shared" si="40"/>
        <v>0.05</v>
      </c>
      <c r="AT22" s="82">
        <f t="shared" si="41"/>
        <v>0.1</v>
      </c>
      <c r="AU22" s="82">
        <v>2</v>
      </c>
      <c r="AV22" s="82">
        <v>0</v>
      </c>
      <c r="AW22" s="82">
        <f t="shared" si="44"/>
        <v>0</v>
      </c>
      <c r="AX22" s="82">
        <f t="shared" si="45"/>
        <v>0</v>
      </c>
      <c r="AY22" s="82">
        <f t="shared" si="45"/>
        <v>0</v>
      </c>
      <c r="AZ22" s="82">
        <f t="shared" si="46"/>
        <v>0.5</v>
      </c>
      <c r="BA22" s="82">
        <f t="shared" si="47"/>
        <v>4800</v>
      </c>
      <c r="BB22" s="82">
        <f t="shared" si="48"/>
        <v>4800</v>
      </c>
      <c r="BC22" s="82">
        <f t="shared" si="49"/>
        <v>4800</v>
      </c>
      <c r="BD22" s="115">
        <f t="shared" si="50"/>
        <v>4800</v>
      </c>
      <c r="BE22" s="115">
        <f t="shared" si="51"/>
        <v>4800</v>
      </c>
      <c r="BF22" s="115">
        <f t="shared" si="52"/>
        <v>4800</v>
      </c>
      <c r="BG22" s="115">
        <f t="shared" si="115"/>
        <v>60</v>
      </c>
      <c r="BH22" s="115">
        <f t="shared" si="108"/>
        <v>60</v>
      </c>
      <c r="BI22" s="115">
        <f t="shared" si="119"/>
        <v>69</v>
      </c>
      <c r="BJ22" s="115">
        <f t="shared" si="109"/>
        <v>69</v>
      </c>
      <c r="BK22" s="115">
        <f t="shared" si="110"/>
        <v>69</v>
      </c>
      <c r="BL22" s="115">
        <f t="shared" si="111"/>
        <v>69</v>
      </c>
      <c r="BM22" s="115">
        <f t="shared" si="8"/>
        <v>8</v>
      </c>
      <c r="BN22" s="115">
        <f t="shared" si="112"/>
        <v>5</v>
      </c>
      <c r="BO22" s="115">
        <f t="shared" si="57"/>
        <v>7200</v>
      </c>
      <c r="BP22" s="115">
        <f t="shared" si="113"/>
        <v>36000</v>
      </c>
      <c r="BQ22" s="115">
        <f t="shared" si="9"/>
        <v>60</v>
      </c>
      <c r="BR22" s="116">
        <f t="shared" si="10"/>
        <v>411</v>
      </c>
      <c r="BS22" s="116">
        <f t="shared" si="11"/>
        <v>160</v>
      </c>
    </row>
    <row r="23" spans="2:71" x14ac:dyDescent="0.25">
      <c r="B23" s="80">
        <f t="shared" si="59"/>
        <v>19</v>
      </c>
      <c r="C23" s="117" t="s">
        <v>135</v>
      </c>
      <c r="D23" s="118">
        <v>61288</v>
      </c>
      <c r="E23" s="87">
        <f t="shared" si="95"/>
        <v>2000</v>
      </c>
      <c r="F23" s="82">
        <f t="shared" si="96"/>
        <v>20</v>
      </c>
      <c r="G23" s="80">
        <f t="shared" si="97"/>
        <v>200</v>
      </c>
      <c r="H23" s="83">
        <f t="shared" si="98"/>
        <v>102</v>
      </c>
      <c r="I23" s="84">
        <f t="shared" si="99"/>
        <v>400</v>
      </c>
      <c r="J23" s="114">
        <f t="shared" si="15"/>
        <v>5</v>
      </c>
      <c r="K23" s="114">
        <f t="shared" si="16"/>
        <v>4</v>
      </c>
      <c r="L23" s="114">
        <f t="shared" si="100"/>
        <v>5</v>
      </c>
      <c r="M23" s="114">
        <f t="shared" si="17"/>
        <v>6</v>
      </c>
      <c r="N23" s="114">
        <f t="shared" si="101"/>
        <v>3</v>
      </c>
      <c r="O23" s="114">
        <f t="shared" si="102"/>
        <v>3</v>
      </c>
      <c r="P23" s="114">
        <f t="shared" si="103"/>
        <v>2</v>
      </c>
      <c r="Q23" s="115">
        <f t="shared" si="20"/>
        <v>25</v>
      </c>
      <c r="R23" s="82">
        <f t="shared" si="118"/>
        <v>30</v>
      </c>
      <c r="S23" s="116">
        <f t="shared" si="22"/>
        <v>20</v>
      </c>
      <c r="T23" s="80">
        <f t="shared" si="104"/>
        <v>6.25</v>
      </c>
      <c r="U23" s="80">
        <f t="shared" si="83"/>
        <v>3.5</v>
      </c>
      <c r="V23" s="82">
        <f t="shared" si="84"/>
        <v>10.5</v>
      </c>
      <c r="W23" s="82">
        <f t="shared" si="114"/>
        <v>10.5</v>
      </c>
      <c r="X23" s="80">
        <f t="shared" si="25"/>
        <v>4.5</v>
      </c>
      <c r="Y23" s="80">
        <f t="shared" si="26"/>
        <v>2.7</v>
      </c>
      <c r="Z23" s="80">
        <f t="shared" si="27"/>
        <v>3</v>
      </c>
      <c r="AA23" s="80">
        <v>8</v>
      </c>
      <c r="AB23" s="80">
        <f t="shared" si="117"/>
        <v>6.25</v>
      </c>
      <c r="AC23" s="82">
        <v>1</v>
      </c>
      <c r="AD23" s="80">
        <f t="shared" si="29"/>
        <v>1.35</v>
      </c>
      <c r="AE23" s="80">
        <f t="shared" si="116"/>
        <v>5.4</v>
      </c>
      <c r="AF23" s="82">
        <f t="shared" si="30"/>
        <v>5.4</v>
      </c>
      <c r="AG23" s="82">
        <f t="shared" si="105"/>
        <v>1.35</v>
      </c>
      <c r="AH23" s="82">
        <v>3</v>
      </c>
      <c r="AI23" s="80">
        <f t="shared" si="32"/>
        <v>3</v>
      </c>
      <c r="AJ23" s="80">
        <f t="shared" si="33"/>
        <v>3.5</v>
      </c>
      <c r="AK23" s="115">
        <f t="shared" si="34"/>
        <v>4</v>
      </c>
      <c r="AL23" s="82">
        <f t="shared" si="35"/>
        <v>8</v>
      </c>
      <c r="AM23" s="82">
        <f t="shared" si="106"/>
        <v>5.4</v>
      </c>
      <c r="AN23" s="82">
        <f t="shared" si="107"/>
        <v>3</v>
      </c>
      <c r="AO23" s="82">
        <f t="shared" si="38"/>
        <v>9600</v>
      </c>
      <c r="AP23" s="82">
        <f>1.2</f>
        <v>1.2</v>
      </c>
      <c r="AQ23" s="82">
        <v>0</v>
      </c>
      <c r="AR23" s="82">
        <f t="shared" si="39"/>
        <v>0</v>
      </c>
      <c r="AS23" s="82">
        <f t="shared" si="40"/>
        <v>0</v>
      </c>
      <c r="AT23" s="82">
        <f t="shared" si="41"/>
        <v>0</v>
      </c>
      <c r="AU23" s="82">
        <v>2</v>
      </c>
      <c r="AV23" s="82">
        <v>0</v>
      </c>
      <c r="AW23" s="82">
        <f t="shared" si="44"/>
        <v>0</v>
      </c>
      <c r="AX23" s="82">
        <f t="shared" si="45"/>
        <v>0</v>
      </c>
      <c r="AY23" s="82">
        <f t="shared" si="45"/>
        <v>0</v>
      </c>
      <c r="AZ23" s="82">
        <f t="shared" si="46"/>
        <v>0</v>
      </c>
      <c r="BA23" s="82">
        <f t="shared" si="47"/>
        <v>4800</v>
      </c>
      <c r="BB23" s="82">
        <f t="shared" si="48"/>
        <v>4800</v>
      </c>
      <c r="BC23" s="82">
        <f t="shared" si="49"/>
        <v>4800</v>
      </c>
      <c r="BD23" s="115">
        <f t="shared" si="50"/>
        <v>4800</v>
      </c>
      <c r="BE23" s="115">
        <f t="shared" si="51"/>
        <v>4800</v>
      </c>
      <c r="BF23" s="115">
        <f t="shared" si="52"/>
        <v>4800</v>
      </c>
      <c r="BG23" s="115">
        <f t="shared" si="115"/>
        <v>60</v>
      </c>
      <c r="BH23" s="115">
        <f t="shared" si="108"/>
        <v>60</v>
      </c>
      <c r="BI23" s="115">
        <f t="shared" si="119"/>
        <v>69</v>
      </c>
      <c r="BJ23" s="115">
        <f t="shared" si="109"/>
        <v>69</v>
      </c>
      <c r="BK23" s="115">
        <f t="shared" si="110"/>
        <v>69</v>
      </c>
      <c r="BL23" s="115">
        <f t="shared" si="111"/>
        <v>69</v>
      </c>
      <c r="BM23" s="115">
        <f t="shared" si="8"/>
        <v>8</v>
      </c>
      <c r="BN23" s="115">
        <f t="shared" si="112"/>
        <v>5</v>
      </c>
      <c r="BO23" s="115">
        <f t="shared" si="57"/>
        <v>7200</v>
      </c>
      <c r="BP23" s="115">
        <f t="shared" si="113"/>
        <v>36000</v>
      </c>
      <c r="BQ23" s="115">
        <f t="shared" si="9"/>
        <v>60</v>
      </c>
      <c r="BR23" s="116">
        <f t="shared" si="10"/>
        <v>2043</v>
      </c>
      <c r="BS23" s="116">
        <f t="shared" si="11"/>
        <v>160</v>
      </c>
    </row>
    <row r="24" spans="2:71" x14ac:dyDescent="0.25">
      <c r="B24" s="80">
        <f t="shared" si="59"/>
        <v>20</v>
      </c>
      <c r="C24" s="81" t="s">
        <v>217</v>
      </c>
      <c r="D24" s="87">
        <v>19005</v>
      </c>
      <c r="E24" s="87">
        <f t="shared" si="95"/>
        <v>1000</v>
      </c>
      <c r="F24" s="82">
        <f t="shared" si="96"/>
        <v>10</v>
      </c>
      <c r="G24" s="80">
        <f t="shared" si="97"/>
        <v>100</v>
      </c>
      <c r="H24" s="83">
        <f t="shared" si="98"/>
        <v>32</v>
      </c>
      <c r="I24" s="84">
        <f t="shared" si="99"/>
        <v>400</v>
      </c>
      <c r="J24" s="114">
        <f t="shared" si="15"/>
        <v>5</v>
      </c>
      <c r="K24" s="114">
        <f t="shared" si="16"/>
        <v>4</v>
      </c>
      <c r="L24" s="114">
        <f t="shared" si="100"/>
        <v>5</v>
      </c>
      <c r="M24" s="114">
        <f t="shared" si="17"/>
        <v>6</v>
      </c>
      <c r="N24" s="114">
        <f t="shared" si="101"/>
        <v>3</v>
      </c>
      <c r="O24" s="114">
        <f t="shared" si="102"/>
        <v>3</v>
      </c>
      <c r="P24" s="114">
        <f t="shared" si="103"/>
        <v>2</v>
      </c>
      <c r="Q24" s="115">
        <f t="shared" si="20"/>
        <v>25</v>
      </c>
      <c r="R24" s="82">
        <f t="shared" si="118"/>
        <v>30</v>
      </c>
      <c r="S24" s="116">
        <f t="shared" si="22"/>
        <v>20</v>
      </c>
      <c r="T24" s="80">
        <f t="shared" si="104"/>
        <v>6.25</v>
      </c>
      <c r="U24" s="80">
        <f t="shared" si="83"/>
        <v>3.5</v>
      </c>
      <c r="V24" s="82">
        <v>7.5</v>
      </c>
      <c r="W24" s="82">
        <f t="shared" si="114"/>
        <v>7.5</v>
      </c>
      <c r="X24" s="80">
        <v>5</v>
      </c>
      <c r="Y24" s="80">
        <f t="shared" si="26"/>
        <v>3</v>
      </c>
      <c r="Z24" s="80">
        <f t="shared" si="27"/>
        <v>3</v>
      </c>
      <c r="AA24" s="80">
        <v>8</v>
      </c>
      <c r="AB24" s="80">
        <f t="shared" si="117"/>
        <v>6.25</v>
      </c>
      <c r="AC24" s="82">
        <v>1</v>
      </c>
      <c r="AD24" s="80">
        <f t="shared" si="29"/>
        <v>1.5</v>
      </c>
      <c r="AE24" s="80">
        <f t="shared" si="116"/>
        <v>6</v>
      </c>
      <c r="AF24" s="82">
        <f t="shared" si="30"/>
        <v>6</v>
      </c>
      <c r="AG24" s="82">
        <f t="shared" si="105"/>
        <v>1.5</v>
      </c>
      <c r="AH24" s="82">
        <f t="shared" si="120"/>
        <v>3</v>
      </c>
      <c r="AI24" s="80">
        <f t="shared" si="32"/>
        <v>3</v>
      </c>
      <c r="AJ24" s="80">
        <f t="shared" si="33"/>
        <v>3.5</v>
      </c>
      <c r="AK24" s="115">
        <f t="shared" si="34"/>
        <v>4</v>
      </c>
      <c r="AL24" s="82">
        <f t="shared" si="35"/>
        <v>8</v>
      </c>
      <c r="AM24" s="82">
        <f t="shared" si="106"/>
        <v>6</v>
      </c>
      <c r="AN24" s="82">
        <f t="shared" si="107"/>
        <v>3</v>
      </c>
      <c r="AO24" s="82">
        <f t="shared" si="38"/>
        <v>9600</v>
      </c>
      <c r="AP24" s="82">
        <f t="shared" si="61"/>
        <v>1.1000000000000001</v>
      </c>
      <c r="AQ24" s="82">
        <v>0.1</v>
      </c>
      <c r="AR24" s="82">
        <f t="shared" si="39"/>
        <v>0.05</v>
      </c>
      <c r="AS24" s="82">
        <f t="shared" si="40"/>
        <v>0.05</v>
      </c>
      <c r="AT24" s="82">
        <f t="shared" si="41"/>
        <v>0.1</v>
      </c>
      <c r="AU24" s="82">
        <v>2</v>
      </c>
      <c r="AV24" s="82">
        <f t="shared" si="43"/>
        <v>0.1</v>
      </c>
      <c r="AW24" s="82">
        <f t="shared" si="44"/>
        <v>0.2</v>
      </c>
      <c r="AX24" s="82">
        <f t="shared" si="45"/>
        <v>0.2</v>
      </c>
      <c r="AY24" s="82">
        <f t="shared" si="45"/>
        <v>0.2</v>
      </c>
      <c r="AZ24" s="82">
        <f t="shared" si="46"/>
        <v>0.5</v>
      </c>
      <c r="BA24" s="82">
        <f t="shared" si="47"/>
        <v>4800</v>
      </c>
      <c r="BB24" s="82">
        <f t="shared" si="48"/>
        <v>4800</v>
      </c>
      <c r="BC24" s="82">
        <f t="shared" si="49"/>
        <v>4800</v>
      </c>
      <c r="BD24" s="115">
        <f t="shared" si="50"/>
        <v>4800</v>
      </c>
      <c r="BE24" s="115">
        <f t="shared" si="51"/>
        <v>4800</v>
      </c>
      <c r="BF24" s="115">
        <f t="shared" si="52"/>
        <v>4800</v>
      </c>
      <c r="BG24" s="115">
        <f t="shared" si="115"/>
        <v>60</v>
      </c>
      <c r="BH24" s="115">
        <f t="shared" si="108"/>
        <v>60</v>
      </c>
      <c r="BI24" s="115">
        <f t="shared" si="119"/>
        <v>69</v>
      </c>
      <c r="BJ24" s="115">
        <f t="shared" si="109"/>
        <v>69</v>
      </c>
      <c r="BK24" s="115">
        <f t="shared" si="110"/>
        <v>69</v>
      </c>
      <c r="BL24" s="115">
        <f t="shared" si="111"/>
        <v>69</v>
      </c>
      <c r="BM24" s="115">
        <f t="shared" si="8"/>
        <v>8</v>
      </c>
      <c r="BN24" s="115">
        <f t="shared" si="112"/>
        <v>5</v>
      </c>
      <c r="BO24" s="115">
        <f t="shared" si="57"/>
        <v>7200</v>
      </c>
      <c r="BP24" s="115">
        <f t="shared" si="113"/>
        <v>36000</v>
      </c>
      <c r="BQ24" s="115">
        <f t="shared" si="9"/>
        <v>60</v>
      </c>
      <c r="BR24" s="116">
        <f t="shared" si="10"/>
        <v>634</v>
      </c>
      <c r="BS24" s="116">
        <f t="shared" si="11"/>
        <v>160</v>
      </c>
    </row>
    <row r="25" spans="2:71" x14ac:dyDescent="0.25">
      <c r="B25" s="80">
        <f t="shared" si="59"/>
        <v>21</v>
      </c>
      <c r="C25" s="81" t="s">
        <v>136</v>
      </c>
      <c r="D25" s="87">
        <v>4663</v>
      </c>
      <c r="E25" s="87">
        <f t="shared" si="95"/>
        <v>1000</v>
      </c>
      <c r="F25" s="82">
        <f t="shared" si="96"/>
        <v>10</v>
      </c>
      <c r="G25" s="80">
        <f t="shared" si="97"/>
        <v>100</v>
      </c>
      <c r="H25" s="83">
        <f t="shared" si="98"/>
        <v>8</v>
      </c>
      <c r="I25" s="84">
        <f t="shared" si="99"/>
        <v>200</v>
      </c>
      <c r="J25" s="114">
        <f t="shared" si="15"/>
        <v>2</v>
      </c>
      <c r="K25" s="114">
        <f t="shared" si="16"/>
        <v>2</v>
      </c>
      <c r="L25" s="114">
        <f t="shared" si="100"/>
        <v>2</v>
      </c>
      <c r="M25" s="114">
        <f t="shared" si="17"/>
        <v>3</v>
      </c>
      <c r="N25" s="114">
        <f t="shared" si="101"/>
        <v>2</v>
      </c>
      <c r="O25" s="114">
        <f t="shared" si="102"/>
        <v>2</v>
      </c>
      <c r="P25" s="114">
        <f t="shared" si="103"/>
        <v>1</v>
      </c>
      <c r="Q25" s="115">
        <f t="shared" si="20"/>
        <v>15</v>
      </c>
      <c r="R25" s="82">
        <f t="shared" si="118"/>
        <v>18</v>
      </c>
      <c r="S25" s="116">
        <f t="shared" si="22"/>
        <v>10</v>
      </c>
      <c r="T25" s="80">
        <f t="shared" si="104"/>
        <v>3.75</v>
      </c>
      <c r="U25" s="80">
        <f t="shared" si="83"/>
        <v>3.5</v>
      </c>
      <c r="V25" s="82">
        <f t="shared" si="84"/>
        <v>10.5</v>
      </c>
      <c r="W25" s="82">
        <f t="shared" si="114"/>
        <v>10.5</v>
      </c>
      <c r="X25" s="80">
        <f t="shared" si="25"/>
        <v>4.5</v>
      </c>
      <c r="Y25" s="80">
        <f t="shared" si="26"/>
        <v>2.7</v>
      </c>
      <c r="Z25" s="80">
        <f t="shared" si="27"/>
        <v>2</v>
      </c>
      <c r="AA25" s="80">
        <f t="shared" si="28"/>
        <v>6</v>
      </c>
      <c r="AB25" s="80">
        <f t="shared" si="117"/>
        <v>3.75</v>
      </c>
      <c r="AC25" s="82">
        <v>1</v>
      </c>
      <c r="AD25" s="80">
        <f t="shared" si="29"/>
        <v>1.35</v>
      </c>
      <c r="AE25" s="80">
        <f t="shared" si="116"/>
        <v>5.4</v>
      </c>
      <c r="AF25" s="82">
        <f t="shared" si="30"/>
        <v>5.4</v>
      </c>
      <c r="AG25" s="82">
        <f t="shared" si="105"/>
        <v>1.35</v>
      </c>
      <c r="AH25" s="82">
        <v>3</v>
      </c>
      <c r="AI25" s="80">
        <f t="shared" si="32"/>
        <v>3</v>
      </c>
      <c r="AJ25" s="80">
        <f t="shared" si="33"/>
        <v>3.5</v>
      </c>
      <c r="AK25" s="115">
        <f t="shared" si="34"/>
        <v>2</v>
      </c>
      <c r="AL25" s="82">
        <f t="shared" si="35"/>
        <v>6</v>
      </c>
      <c r="AM25" s="82">
        <f t="shared" si="106"/>
        <v>5.4</v>
      </c>
      <c r="AN25" s="82">
        <f t="shared" si="107"/>
        <v>3</v>
      </c>
      <c r="AO25" s="82">
        <f t="shared" si="38"/>
        <v>5600</v>
      </c>
      <c r="AP25" s="82">
        <f t="shared" si="61"/>
        <v>1.1000000000000001</v>
      </c>
      <c r="AQ25" s="82">
        <v>0.1</v>
      </c>
      <c r="AR25" s="82">
        <f t="shared" si="39"/>
        <v>0.05</v>
      </c>
      <c r="AS25" s="82">
        <f t="shared" si="40"/>
        <v>0.05</v>
      </c>
      <c r="AT25" s="82">
        <f t="shared" si="41"/>
        <v>0.1</v>
      </c>
      <c r="AU25" s="82">
        <v>2</v>
      </c>
      <c r="AV25" s="82">
        <f t="shared" si="43"/>
        <v>0.1</v>
      </c>
      <c r="AW25" s="82">
        <f t="shared" si="44"/>
        <v>0.2</v>
      </c>
      <c r="AX25" s="82">
        <f t="shared" si="45"/>
        <v>0.2</v>
      </c>
      <c r="AY25" s="82">
        <f t="shared" si="45"/>
        <v>0.2</v>
      </c>
      <c r="AZ25" s="82">
        <f t="shared" si="46"/>
        <v>0.5</v>
      </c>
      <c r="BA25" s="82">
        <f t="shared" si="47"/>
        <v>2800</v>
      </c>
      <c r="BB25" s="82">
        <f t="shared" si="48"/>
        <v>2800</v>
      </c>
      <c r="BC25" s="82">
        <f t="shared" si="49"/>
        <v>2800</v>
      </c>
      <c r="BD25" s="115">
        <f t="shared" si="50"/>
        <v>2800</v>
      </c>
      <c r="BE25" s="115">
        <f t="shared" si="51"/>
        <v>2800</v>
      </c>
      <c r="BF25" s="115">
        <f t="shared" si="52"/>
        <v>2800</v>
      </c>
      <c r="BG25" s="115">
        <f t="shared" si="115"/>
        <v>35</v>
      </c>
      <c r="BH25" s="115">
        <f t="shared" si="108"/>
        <v>35</v>
      </c>
      <c r="BI25" s="115">
        <f t="shared" si="119"/>
        <v>40</v>
      </c>
      <c r="BJ25" s="115">
        <f t="shared" si="109"/>
        <v>40</v>
      </c>
      <c r="BK25" s="115">
        <f t="shared" si="110"/>
        <v>40</v>
      </c>
      <c r="BL25" s="115">
        <f t="shared" si="111"/>
        <v>40</v>
      </c>
      <c r="BM25" s="115">
        <f t="shared" si="8"/>
        <v>3</v>
      </c>
      <c r="BN25" s="115">
        <f t="shared" si="112"/>
        <v>2</v>
      </c>
      <c r="BO25" s="115">
        <f t="shared" si="57"/>
        <v>4200</v>
      </c>
      <c r="BP25" s="115">
        <f t="shared" si="113"/>
        <v>21000</v>
      </c>
      <c r="BQ25" s="115">
        <f t="shared" si="9"/>
        <v>35</v>
      </c>
      <c r="BR25" s="116">
        <f t="shared" si="10"/>
        <v>155</v>
      </c>
      <c r="BS25" s="116">
        <f t="shared" si="11"/>
        <v>120</v>
      </c>
    </row>
    <row r="26" spans="2:71" x14ac:dyDescent="0.25">
      <c r="B26" s="80">
        <f t="shared" si="59"/>
        <v>22</v>
      </c>
      <c r="C26" s="81" t="s">
        <v>137</v>
      </c>
      <c r="D26" s="87">
        <v>74558</v>
      </c>
      <c r="E26" s="87">
        <f t="shared" si="95"/>
        <v>2000</v>
      </c>
      <c r="F26" s="82">
        <f t="shared" si="96"/>
        <v>20</v>
      </c>
      <c r="G26" s="80">
        <f t="shared" si="97"/>
        <v>200</v>
      </c>
      <c r="H26" s="83">
        <f t="shared" si="98"/>
        <v>124</v>
      </c>
      <c r="I26" s="84">
        <f t="shared" si="99"/>
        <v>400</v>
      </c>
      <c r="J26" s="114">
        <f t="shared" si="15"/>
        <v>5</v>
      </c>
      <c r="K26" s="114">
        <f t="shared" si="16"/>
        <v>4</v>
      </c>
      <c r="L26" s="114">
        <f t="shared" si="100"/>
        <v>5</v>
      </c>
      <c r="M26" s="114">
        <f t="shared" si="17"/>
        <v>6</v>
      </c>
      <c r="N26" s="114">
        <f t="shared" si="101"/>
        <v>3</v>
      </c>
      <c r="O26" s="114">
        <f t="shared" si="102"/>
        <v>3</v>
      </c>
      <c r="P26" s="114">
        <f t="shared" si="103"/>
        <v>2</v>
      </c>
      <c r="Q26" s="115">
        <f t="shared" si="20"/>
        <v>25</v>
      </c>
      <c r="R26" s="82">
        <f t="shared" si="118"/>
        <v>30</v>
      </c>
      <c r="S26" s="116">
        <f t="shared" si="22"/>
        <v>20</v>
      </c>
      <c r="T26" s="80">
        <f t="shared" si="104"/>
        <v>6.25</v>
      </c>
      <c r="U26" s="80">
        <f t="shared" si="83"/>
        <v>3.5</v>
      </c>
      <c r="V26" s="82">
        <f t="shared" si="84"/>
        <v>10.5</v>
      </c>
      <c r="W26" s="82">
        <f t="shared" si="114"/>
        <v>10.5</v>
      </c>
      <c r="X26" s="80">
        <f t="shared" si="25"/>
        <v>4.5</v>
      </c>
      <c r="Y26" s="80">
        <f t="shared" si="26"/>
        <v>2.7</v>
      </c>
      <c r="Z26" s="80">
        <f t="shared" si="27"/>
        <v>3</v>
      </c>
      <c r="AA26" s="80">
        <v>9</v>
      </c>
      <c r="AB26" s="80">
        <v>6</v>
      </c>
      <c r="AC26" s="82">
        <v>1</v>
      </c>
      <c r="AD26" s="80">
        <f t="shared" si="29"/>
        <v>1.35</v>
      </c>
      <c r="AE26" s="80">
        <f t="shared" si="116"/>
        <v>5.4</v>
      </c>
      <c r="AF26" s="82">
        <f t="shared" si="30"/>
        <v>5.4</v>
      </c>
      <c r="AG26" s="82">
        <f t="shared" si="105"/>
        <v>1.35</v>
      </c>
      <c r="AH26" s="82">
        <v>3</v>
      </c>
      <c r="AI26" s="80">
        <f t="shared" si="32"/>
        <v>3</v>
      </c>
      <c r="AJ26" s="80">
        <f t="shared" si="33"/>
        <v>3.5</v>
      </c>
      <c r="AK26" s="115">
        <f t="shared" si="34"/>
        <v>4</v>
      </c>
      <c r="AL26" s="82">
        <f t="shared" si="35"/>
        <v>9</v>
      </c>
      <c r="AM26" s="82">
        <f t="shared" si="106"/>
        <v>5.4</v>
      </c>
      <c r="AN26" s="82">
        <f t="shared" si="107"/>
        <v>3</v>
      </c>
      <c r="AO26" s="82">
        <f t="shared" si="38"/>
        <v>9600</v>
      </c>
      <c r="AP26" s="82">
        <f t="shared" si="61"/>
        <v>1.1000000000000001</v>
      </c>
      <c r="AQ26" s="82">
        <v>0.1</v>
      </c>
      <c r="AR26" s="82">
        <f t="shared" si="39"/>
        <v>0.05</v>
      </c>
      <c r="AS26" s="82">
        <f t="shared" si="40"/>
        <v>0.05</v>
      </c>
      <c r="AT26" s="82">
        <f t="shared" si="41"/>
        <v>0.1</v>
      </c>
      <c r="AU26" s="82">
        <f t="shared" si="42"/>
        <v>1.1000000000000001</v>
      </c>
      <c r="AV26" s="82">
        <v>0</v>
      </c>
      <c r="AW26" s="82">
        <f t="shared" si="44"/>
        <v>0</v>
      </c>
      <c r="AX26" s="82">
        <f t="shared" si="45"/>
        <v>0</v>
      </c>
      <c r="AY26" s="82">
        <f t="shared" si="45"/>
        <v>0</v>
      </c>
      <c r="AZ26" s="82">
        <f t="shared" si="46"/>
        <v>0.5</v>
      </c>
      <c r="BA26" s="82">
        <f t="shared" si="47"/>
        <v>4800</v>
      </c>
      <c r="BB26" s="82">
        <f t="shared" si="48"/>
        <v>4800</v>
      </c>
      <c r="BC26" s="82">
        <f t="shared" si="49"/>
        <v>4800</v>
      </c>
      <c r="BD26" s="115">
        <f t="shared" si="50"/>
        <v>4800</v>
      </c>
      <c r="BE26" s="115">
        <f t="shared" si="51"/>
        <v>4800</v>
      </c>
      <c r="BF26" s="115">
        <f t="shared" si="52"/>
        <v>4800</v>
      </c>
      <c r="BG26" s="115">
        <f t="shared" si="115"/>
        <v>60</v>
      </c>
      <c r="BH26" s="115">
        <f t="shared" si="108"/>
        <v>60</v>
      </c>
      <c r="BI26" s="115">
        <f t="shared" si="119"/>
        <v>69</v>
      </c>
      <c r="BJ26" s="115">
        <f t="shared" si="109"/>
        <v>69</v>
      </c>
      <c r="BK26" s="115">
        <f t="shared" si="110"/>
        <v>69</v>
      </c>
      <c r="BL26" s="115">
        <f t="shared" si="111"/>
        <v>69</v>
      </c>
      <c r="BM26" s="115">
        <f t="shared" si="8"/>
        <v>8</v>
      </c>
      <c r="BN26" s="115">
        <f t="shared" si="112"/>
        <v>5</v>
      </c>
      <c r="BO26" s="115">
        <f t="shared" si="57"/>
        <v>7200</v>
      </c>
      <c r="BP26" s="115">
        <f t="shared" si="113"/>
        <v>36000</v>
      </c>
      <c r="BQ26" s="115">
        <f t="shared" si="9"/>
        <v>60</v>
      </c>
      <c r="BR26" s="116">
        <f t="shared" si="10"/>
        <v>2485</v>
      </c>
      <c r="BS26" s="116">
        <f t="shared" si="11"/>
        <v>180</v>
      </c>
    </row>
    <row r="27" spans="2:71" x14ac:dyDescent="0.25">
      <c r="B27" s="80">
        <f t="shared" si="59"/>
        <v>23</v>
      </c>
      <c r="C27" s="81" t="str">
        <f>[7]Planilha1!C28</f>
        <v>Paula Cândido</v>
      </c>
      <c r="D27" s="87">
        <f>[7]Planilha1!D28</f>
        <v>9271</v>
      </c>
      <c r="E27" s="87">
        <f t="shared" si="95"/>
        <v>1000</v>
      </c>
      <c r="F27" s="82">
        <f t="shared" si="96"/>
        <v>10</v>
      </c>
      <c r="G27" s="80">
        <f t="shared" si="97"/>
        <v>100</v>
      </c>
      <c r="H27" s="83">
        <f t="shared" si="98"/>
        <v>15</v>
      </c>
      <c r="I27" s="84">
        <f t="shared" si="99"/>
        <v>200</v>
      </c>
      <c r="J27" s="114">
        <f t="shared" si="15"/>
        <v>2</v>
      </c>
      <c r="K27" s="114">
        <f t="shared" si="16"/>
        <v>2</v>
      </c>
      <c r="L27" s="114">
        <f t="shared" si="100"/>
        <v>2</v>
      </c>
      <c r="M27" s="114">
        <f t="shared" si="17"/>
        <v>3</v>
      </c>
      <c r="N27" s="114">
        <f t="shared" si="101"/>
        <v>2</v>
      </c>
      <c r="O27" s="114">
        <f t="shared" si="102"/>
        <v>2</v>
      </c>
      <c r="P27" s="114">
        <f t="shared" si="103"/>
        <v>1</v>
      </c>
      <c r="Q27" s="115">
        <f t="shared" si="20"/>
        <v>15</v>
      </c>
      <c r="R27" s="82">
        <f t="shared" si="118"/>
        <v>18</v>
      </c>
      <c r="S27" s="116">
        <f t="shared" si="22"/>
        <v>10</v>
      </c>
      <c r="T27" s="80">
        <f t="shared" si="104"/>
        <v>3.75</v>
      </c>
      <c r="U27" s="80">
        <f t="shared" si="83"/>
        <v>3.5</v>
      </c>
      <c r="V27" s="82">
        <v>7.5</v>
      </c>
      <c r="W27" s="82">
        <f t="shared" si="114"/>
        <v>7.5</v>
      </c>
      <c r="X27" s="80">
        <v>5</v>
      </c>
      <c r="Y27" s="80">
        <v>4</v>
      </c>
      <c r="Z27" s="80">
        <f t="shared" si="27"/>
        <v>2</v>
      </c>
      <c r="AA27" s="80">
        <f t="shared" si="28"/>
        <v>6</v>
      </c>
      <c r="AB27" s="80">
        <f t="shared" si="117"/>
        <v>3.75</v>
      </c>
      <c r="AC27" s="82">
        <v>1</v>
      </c>
      <c r="AD27" s="80">
        <f t="shared" si="29"/>
        <v>2</v>
      </c>
      <c r="AE27" s="80">
        <f t="shared" si="116"/>
        <v>8</v>
      </c>
      <c r="AF27" s="82">
        <f t="shared" si="30"/>
        <v>8</v>
      </c>
      <c r="AG27" s="82">
        <f t="shared" si="105"/>
        <v>2</v>
      </c>
      <c r="AH27" s="82">
        <f t="shared" si="120"/>
        <v>4</v>
      </c>
      <c r="AI27" s="80">
        <f t="shared" si="32"/>
        <v>4</v>
      </c>
      <c r="AJ27" s="80">
        <f t="shared" si="33"/>
        <v>3.5</v>
      </c>
      <c r="AK27" s="115">
        <f t="shared" si="34"/>
        <v>2</v>
      </c>
      <c r="AL27" s="82">
        <f t="shared" si="35"/>
        <v>6</v>
      </c>
      <c r="AM27" s="82">
        <f t="shared" si="106"/>
        <v>8</v>
      </c>
      <c r="AN27" s="82">
        <f t="shared" si="107"/>
        <v>4</v>
      </c>
      <c r="AO27" s="82">
        <f t="shared" si="38"/>
        <v>5600</v>
      </c>
      <c r="AP27" s="82">
        <f t="shared" si="61"/>
        <v>1.1000000000000001</v>
      </c>
      <c r="AQ27" s="82">
        <v>0.1</v>
      </c>
      <c r="AR27" s="82">
        <f t="shared" si="39"/>
        <v>0.05</v>
      </c>
      <c r="AS27" s="82">
        <f t="shared" si="40"/>
        <v>0.05</v>
      </c>
      <c r="AT27" s="82">
        <f t="shared" si="41"/>
        <v>0.1</v>
      </c>
      <c r="AU27" s="82">
        <v>2</v>
      </c>
      <c r="AV27" s="82">
        <f t="shared" si="43"/>
        <v>0.1</v>
      </c>
      <c r="AW27" s="82">
        <f t="shared" si="44"/>
        <v>0.2</v>
      </c>
      <c r="AX27" s="82">
        <f t="shared" si="45"/>
        <v>0.2</v>
      </c>
      <c r="AY27" s="82">
        <f t="shared" si="45"/>
        <v>0.2</v>
      </c>
      <c r="AZ27" s="82">
        <f t="shared" si="46"/>
        <v>0.5</v>
      </c>
      <c r="BA27" s="82">
        <f t="shared" si="47"/>
        <v>2800</v>
      </c>
      <c r="BB27" s="82">
        <f t="shared" si="48"/>
        <v>2800</v>
      </c>
      <c r="BC27" s="82">
        <f t="shared" si="49"/>
        <v>2800</v>
      </c>
      <c r="BD27" s="115">
        <f t="shared" si="50"/>
        <v>2800</v>
      </c>
      <c r="BE27" s="115">
        <f t="shared" si="51"/>
        <v>2800</v>
      </c>
      <c r="BF27" s="115">
        <f t="shared" si="52"/>
        <v>2800</v>
      </c>
      <c r="BG27" s="115">
        <f t="shared" si="115"/>
        <v>35</v>
      </c>
      <c r="BH27" s="115">
        <f t="shared" si="108"/>
        <v>35</v>
      </c>
      <c r="BI27" s="115">
        <f t="shared" si="119"/>
        <v>40</v>
      </c>
      <c r="BJ27" s="115">
        <f t="shared" si="109"/>
        <v>40</v>
      </c>
      <c r="BK27" s="115">
        <f t="shared" si="110"/>
        <v>40</v>
      </c>
      <c r="BL27" s="115">
        <f t="shared" si="111"/>
        <v>40</v>
      </c>
      <c r="BM27" s="115">
        <f t="shared" si="8"/>
        <v>3</v>
      </c>
      <c r="BN27" s="115">
        <f t="shared" si="112"/>
        <v>2</v>
      </c>
      <c r="BO27" s="115">
        <f t="shared" si="57"/>
        <v>4200</v>
      </c>
      <c r="BP27" s="115">
        <f t="shared" si="113"/>
        <v>21000</v>
      </c>
      <c r="BQ27" s="115">
        <f t="shared" si="9"/>
        <v>35</v>
      </c>
      <c r="BR27" s="116">
        <f t="shared" si="10"/>
        <v>309</v>
      </c>
      <c r="BS27" s="116">
        <f t="shared" si="11"/>
        <v>120</v>
      </c>
    </row>
    <row r="28" spans="2:71" x14ac:dyDescent="0.25">
      <c r="B28" s="80">
        <f t="shared" si="59"/>
        <v>24</v>
      </c>
      <c r="C28" s="81" t="s">
        <v>138</v>
      </c>
      <c r="D28" s="87">
        <v>3005</v>
      </c>
      <c r="E28" s="87">
        <f t="shared" si="95"/>
        <v>1000</v>
      </c>
      <c r="F28" s="82">
        <f t="shared" si="96"/>
        <v>10</v>
      </c>
      <c r="G28" s="80">
        <f t="shared" si="97"/>
        <v>100</v>
      </c>
      <c r="H28" s="83">
        <f t="shared" si="98"/>
        <v>5</v>
      </c>
      <c r="I28" s="84">
        <f t="shared" si="99"/>
        <v>200</v>
      </c>
      <c r="J28" s="114">
        <f t="shared" si="15"/>
        <v>2</v>
      </c>
      <c r="K28" s="114">
        <f t="shared" si="16"/>
        <v>2</v>
      </c>
      <c r="L28" s="114">
        <f t="shared" si="100"/>
        <v>2</v>
      </c>
      <c r="M28" s="114">
        <f t="shared" si="17"/>
        <v>3</v>
      </c>
      <c r="N28" s="114">
        <f t="shared" si="101"/>
        <v>2</v>
      </c>
      <c r="O28" s="114">
        <f t="shared" si="102"/>
        <v>2</v>
      </c>
      <c r="P28" s="114">
        <f t="shared" si="103"/>
        <v>1</v>
      </c>
      <c r="Q28" s="115">
        <f t="shared" si="20"/>
        <v>15</v>
      </c>
      <c r="R28" s="82">
        <f t="shared" si="118"/>
        <v>18</v>
      </c>
      <c r="S28" s="116">
        <f t="shared" si="22"/>
        <v>10</v>
      </c>
      <c r="T28" s="80">
        <f t="shared" si="104"/>
        <v>3.75</v>
      </c>
      <c r="U28" s="80">
        <f t="shared" si="83"/>
        <v>3.5</v>
      </c>
      <c r="V28" s="82">
        <f t="shared" si="84"/>
        <v>10.5</v>
      </c>
      <c r="W28" s="82">
        <f t="shared" si="114"/>
        <v>10.5</v>
      </c>
      <c r="X28" s="80">
        <f t="shared" si="25"/>
        <v>4.5</v>
      </c>
      <c r="Y28" s="80">
        <f t="shared" si="26"/>
        <v>2.7</v>
      </c>
      <c r="Z28" s="80">
        <f t="shared" si="27"/>
        <v>2</v>
      </c>
      <c r="AA28" s="80">
        <f t="shared" si="28"/>
        <v>6</v>
      </c>
      <c r="AB28" s="80">
        <f t="shared" si="117"/>
        <v>3.75</v>
      </c>
      <c r="AC28" s="82">
        <v>1</v>
      </c>
      <c r="AD28" s="80">
        <v>1</v>
      </c>
      <c r="AE28" s="80">
        <f t="shared" si="116"/>
        <v>5.4</v>
      </c>
      <c r="AF28" s="82">
        <f t="shared" si="30"/>
        <v>5.4</v>
      </c>
      <c r="AG28" s="82">
        <f t="shared" si="105"/>
        <v>1</v>
      </c>
      <c r="AH28" s="82">
        <f t="shared" si="120"/>
        <v>2</v>
      </c>
      <c r="AI28" s="80">
        <f t="shared" si="32"/>
        <v>2</v>
      </c>
      <c r="AJ28" s="80">
        <f t="shared" si="33"/>
        <v>3.5</v>
      </c>
      <c r="AK28" s="115">
        <f t="shared" si="34"/>
        <v>2</v>
      </c>
      <c r="AL28" s="82">
        <f t="shared" si="35"/>
        <v>6</v>
      </c>
      <c r="AM28" s="82">
        <f t="shared" si="106"/>
        <v>5.4</v>
      </c>
      <c r="AN28" s="82">
        <f t="shared" si="107"/>
        <v>2</v>
      </c>
      <c r="AO28" s="82">
        <f t="shared" si="38"/>
        <v>5600</v>
      </c>
      <c r="AP28" s="82">
        <v>1.2</v>
      </c>
      <c r="AQ28" s="82">
        <v>0</v>
      </c>
      <c r="AR28" s="82">
        <f t="shared" si="39"/>
        <v>0</v>
      </c>
      <c r="AS28" s="173">
        <v>0.05</v>
      </c>
      <c r="AT28" s="82">
        <f t="shared" si="41"/>
        <v>0</v>
      </c>
      <c r="AU28" s="82">
        <v>2</v>
      </c>
      <c r="AV28" s="82">
        <f t="shared" si="43"/>
        <v>0</v>
      </c>
      <c r="AW28" s="82">
        <f t="shared" si="44"/>
        <v>0</v>
      </c>
      <c r="AX28" s="82">
        <f t="shared" si="45"/>
        <v>0</v>
      </c>
      <c r="AY28" s="82">
        <f t="shared" si="45"/>
        <v>0</v>
      </c>
      <c r="AZ28" s="82">
        <f t="shared" si="46"/>
        <v>0.5</v>
      </c>
      <c r="BA28" s="82">
        <f t="shared" si="47"/>
        <v>2800</v>
      </c>
      <c r="BB28" s="82">
        <f t="shared" si="48"/>
        <v>2800</v>
      </c>
      <c r="BC28" s="82">
        <f t="shared" si="49"/>
        <v>2800</v>
      </c>
      <c r="BD28" s="115">
        <f t="shared" si="50"/>
        <v>2800</v>
      </c>
      <c r="BE28" s="115">
        <f t="shared" si="51"/>
        <v>2800</v>
      </c>
      <c r="BF28" s="115">
        <f t="shared" si="52"/>
        <v>2800</v>
      </c>
      <c r="BG28" s="115">
        <f t="shared" si="115"/>
        <v>35</v>
      </c>
      <c r="BH28" s="115">
        <f t="shared" si="108"/>
        <v>35</v>
      </c>
      <c r="BI28" s="115">
        <f t="shared" si="119"/>
        <v>40</v>
      </c>
      <c r="BJ28" s="115">
        <f t="shared" si="109"/>
        <v>40</v>
      </c>
      <c r="BK28" s="115">
        <f t="shared" si="110"/>
        <v>40</v>
      </c>
      <c r="BL28" s="115">
        <f t="shared" si="111"/>
        <v>40</v>
      </c>
      <c r="BM28" s="115">
        <f t="shared" si="8"/>
        <v>3</v>
      </c>
      <c r="BN28" s="115">
        <f t="shared" si="112"/>
        <v>2</v>
      </c>
      <c r="BO28" s="115">
        <f t="shared" si="57"/>
        <v>4200</v>
      </c>
      <c r="BP28" s="115">
        <f t="shared" si="113"/>
        <v>21000</v>
      </c>
      <c r="BQ28" s="115">
        <f t="shared" si="9"/>
        <v>35</v>
      </c>
      <c r="BR28" s="116">
        <f t="shared" si="10"/>
        <v>100</v>
      </c>
      <c r="BS28" s="116">
        <f t="shared" si="11"/>
        <v>120</v>
      </c>
    </row>
    <row r="29" spans="2:71" x14ac:dyDescent="0.25">
      <c r="B29" s="80">
        <f t="shared" si="59"/>
        <v>25</v>
      </c>
      <c r="C29" s="81" t="s">
        <v>139</v>
      </c>
      <c r="D29" s="87">
        <v>4140</v>
      </c>
      <c r="E29" s="87">
        <f t="shared" si="95"/>
        <v>1000</v>
      </c>
      <c r="F29" s="82">
        <f t="shared" si="96"/>
        <v>10</v>
      </c>
      <c r="G29" s="80">
        <f t="shared" si="97"/>
        <v>100</v>
      </c>
      <c r="H29" s="83">
        <f t="shared" si="98"/>
        <v>7</v>
      </c>
      <c r="I29" s="84">
        <f t="shared" si="99"/>
        <v>200</v>
      </c>
      <c r="J29" s="114">
        <f t="shared" si="15"/>
        <v>2</v>
      </c>
      <c r="K29" s="114">
        <f t="shared" si="16"/>
        <v>2</v>
      </c>
      <c r="L29" s="114">
        <f t="shared" si="100"/>
        <v>2</v>
      </c>
      <c r="M29" s="114">
        <f t="shared" si="17"/>
        <v>3</v>
      </c>
      <c r="N29" s="114">
        <f t="shared" si="101"/>
        <v>2</v>
      </c>
      <c r="O29" s="114">
        <f t="shared" si="102"/>
        <v>2</v>
      </c>
      <c r="P29" s="114">
        <f t="shared" si="103"/>
        <v>1</v>
      </c>
      <c r="Q29" s="115">
        <f t="shared" si="20"/>
        <v>15</v>
      </c>
      <c r="R29" s="82">
        <f t="shared" si="118"/>
        <v>18</v>
      </c>
      <c r="S29" s="116">
        <f t="shared" si="22"/>
        <v>10</v>
      </c>
      <c r="T29" s="80">
        <f t="shared" si="104"/>
        <v>3.75</v>
      </c>
      <c r="U29" s="80">
        <f t="shared" si="83"/>
        <v>3.5</v>
      </c>
      <c r="V29" s="82">
        <f t="shared" si="84"/>
        <v>10.5</v>
      </c>
      <c r="W29" s="82">
        <f t="shared" si="114"/>
        <v>10.5</v>
      </c>
      <c r="X29" s="80">
        <f t="shared" si="25"/>
        <v>4.5</v>
      </c>
      <c r="Y29" s="80">
        <f t="shared" si="26"/>
        <v>2.7</v>
      </c>
      <c r="Z29" s="80">
        <f t="shared" si="27"/>
        <v>2</v>
      </c>
      <c r="AA29" s="80">
        <f t="shared" si="28"/>
        <v>6</v>
      </c>
      <c r="AB29" s="80">
        <f t="shared" si="117"/>
        <v>3.75</v>
      </c>
      <c r="AC29" s="82">
        <v>1</v>
      </c>
      <c r="AD29" s="80">
        <v>1</v>
      </c>
      <c r="AE29" s="80">
        <f t="shared" si="116"/>
        <v>5.4</v>
      </c>
      <c r="AF29" s="82">
        <f t="shared" si="30"/>
        <v>5.4</v>
      </c>
      <c r="AG29" s="82">
        <f t="shared" si="105"/>
        <v>1</v>
      </c>
      <c r="AH29" s="82">
        <f t="shared" si="120"/>
        <v>2</v>
      </c>
      <c r="AI29" s="80">
        <f t="shared" si="32"/>
        <v>2</v>
      </c>
      <c r="AJ29" s="80">
        <f t="shared" si="33"/>
        <v>3.5</v>
      </c>
      <c r="AK29" s="115">
        <f t="shared" si="34"/>
        <v>2</v>
      </c>
      <c r="AL29" s="82">
        <f t="shared" si="35"/>
        <v>6</v>
      </c>
      <c r="AM29" s="82">
        <f t="shared" si="106"/>
        <v>5.4</v>
      </c>
      <c r="AN29" s="82">
        <f t="shared" si="107"/>
        <v>2</v>
      </c>
      <c r="AO29" s="82">
        <f t="shared" si="38"/>
        <v>5600</v>
      </c>
      <c r="AP29" s="82">
        <v>1.2</v>
      </c>
      <c r="AQ29" s="82">
        <v>0.1</v>
      </c>
      <c r="AR29" s="82">
        <f t="shared" si="39"/>
        <v>0.05</v>
      </c>
      <c r="AS29" s="82">
        <f t="shared" si="40"/>
        <v>0.05</v>
      </c>
      <c r="AT29" s="82">
        <f t="shared" si="41"/>
        <v>0.1</v>
      </c>
      <c r="AU29" s="82">
        <v>2</v>
      </c>
      <c r="AV29" s="82">
        <f t="shared" si="43"/>
        <v>0.1</v>
      </c>
      <c r="AW29" s="82">
        <f t="shared" si="44"/>
        <v>0.2</v>
      </c>
      <c r="AX29" s="82">
        <f t="shared" si="45"/>
        <v>0.2</v>
      </c>
      <c r="AY29" s="82">
        <f t="shared" si="45"/>
        <v>0.2</v>
      </c>
      <c r="AZ29" s="82">
        <f t="shared" si="46"/>
        <v>0.5</v>
      </c>
      <c r="BA29" s="82">
        <f t="shared" si="47"/>
        <v>2800</v>
      </c>
      <c r="BB29" s="82">
        <f t="shared" si="48"/>
        <v>2800</v>
      </c>
      <c r="BC29" s="82">
        <f t="shared" si="49"/>
        <v>2800</v>
      </c>
      <c r="BD29" s="115">
        <f t="shared" si="50"/>
        <v>2800</v>
      </c>
      <c r="BE29" s="115">
        <f t="shared" si="51"/>
        <v>2800</v>
      </c>
      <c r="BF29" s="115">
        <f t="shared" si="52"/>
        <v>2800</v>
      </c>
      <c r="BG29" s="115">
        <f t="shared" si="115"/>
        <v>35</v>
      </c>
      <c r="BH29" s="115">
        <f t="shared" si="108"/>
        <v>35</v>
      </c>
      <c r="BI29" s="115">
        <f t="shared" si="119"/>
        <v>40</v>
      </c>
      <c r="BJ29" s="115">
        <f t="shared" si="109"/>
        <v>40</v>
      </c>
      <c r="BK29" s="115">
        <f t="shared" si="110"/>
        <v>40</v>
      </c>
      <c r="BL29" s="115">
        <f t="shared" si="111"/>
        <v>40</v>
      </c>
      <c r="BM29" s="115">
        <f t="shared" si="8"/>
        <v>3</v>
      </c>
      <c r="BN29" s="115">
        <f t="shared" si="112"/>
        <v>2</v>
      </c>
      <c r="BO29" s="115">
        <f t="shared" si="57"/>
        <v>4200</v>
      </c>
      <c r="BP29" s="115">
        <f t="shared" si="113"/>
        <v>21000</v>
      </c>
      <c r="BQ29" s="115">
        <f t="shared" si="9"/>
        <v>35</v>
      </c>
      <c r="BR29" s="116">
        <f t="shared" si="10"/>
        <v>138</v>
      </c>
      <c r="BS29" s="116">
        <f t="shared" si="11"/>
        <v>120</v>
      </c>
    </row>
    <row r="30" spans="2:71" x14ac:dyDescent="0.25">
      <c r="B30" s="80">
        <f t="shared" si="59"/>
        <v>26</v>
      </c>
      <c r="C30" s="81" t="s">
        <v>220</v>
      </c>
      <c r="D30" s="87">
        <v>17634</v>
      </c>
      <c r="E30" s="87">
        <f t="shared" si="95"/>
        <v>1000</v>
      </c>
      <c r="F30" s="82">
        <f t="shared" si="96"/>
        <v>10</v>
      </c>
      <c r="G30" s="80">
        <f t="shared" si="97"/>
        <v>100</v>
      </c>
      <c r="H30" s="83">
        <f t="shared" si="98"/>
        <v>29</v>
      </c>
      <c r="I30" s="84">
        <f t="shared" si="99"/>
        <v>400</v>
      </c>
      <c r="J30" s="114">
        <f t="shared" si="15"/>
        <v>5</v>
      </c>
      <c r="K30" s="114">
        <f t="shared" si="16"/>
        <v>4</v>
      </c>
      <c r="L30" s="114">
        <f t="shared" si="100"/>
        <v>5</v>
      </c>
      <c r="M30" s="114">
        <f t="shared" si="17"/>
        <v>6</v>
      </c>
      <c r="N30" s="114">
        <f t="shared" si="101"/>
        <v>3</v>
      </c>
      <c r="O30" s="114">
        <f t="shared" si="102"/>
        <v>3</v>
      </c>
      <c r="P30" s="114">
        <f t="shared" si="103"/>
        <v>2</v>
      </c>
      <c r="Q30" s="115">
        <f t="shared" si="20"/>
        <v>25</v>
      </c>
      <c r="R30" s="82">
        <f t="shared" si="118"/>
        <v>30</v>
      </c>
      <c r="S30" s="116">
        <f t="shared" si="22"/>
        <v>20</v>
      </c>
      <c r="T30" s="80">
        <f t="shared" si="104"/>
        <v>6.25</v>
      </c>
      <c r="U30" s="80">
        <f t="shared" si="83"/>
        <v>3.5</v>
      </c>
      <c r="V30" s="82">
        <f t="shared" si="84"/>
        <v>10.5</v>
      </c>
      <c r="W30" s="82">
        <f t="shared" si="114"/>
        <v>10.5</v>
      </c>
      <c r="X30" s="80">
        <v>5</v>
      </c>
      <c r="Y30" s="80">
        <v>4</v>
      </c>
      <c r="Z30" s="80">
        <f t="shared" si="27"/>
        <v>3</v>
      </c>
      <c r="AA30" s="80">
        <v>9</v>
      </c>
      <c r="AB30" s="80">
        <f t="shared" si="117"/>
        <v>6.25</v>
      </c>
      <c r="AC30" s="82">
        <v>1</v>
      </c>
      <c r="AD30" s="80">
        <f t="shared" si="29"/>
        <v>2</v>
      </c>
      <c r="AE30" s="80">
        <f t="shared" si="116"/>
        <v>8</v>
      </c>
      <c r="AF30" s="82">
        <f t="shared" si="30"/>
        <v>8</v>
      </c>
      <c r="AG30" s="82">
        <f t="shared" si="105"/>
        <v>2</v>
      </c>
      <c r="AH30" s="82">
        <f t="shared" si="120"/>
        <v>4</v>
      </c>
      <c r="AI30" s="80">
        <f t="shared" si="32"/>
        <v>4</v>
      </c>
      <c r="AJ30" s="80">
        <f t="shared" si="33"/>
        <v>3.5</v>
      </c>
      <c r="AK30" s="115">
        <f t="shared" si="34"/>
        <v>4</v>
      </c>
      <c r="AL30" s="82">
        <f t="shared" si="35"/>
        <v>9</v>
      </c>
      <c r="AM30" s="82">
        <f t="shared" si="106"/>
        <v>8</v>
      </c>
      <c r="AN30" s="82">
        <f t="shared" si="107"/>
        <v>4</v>
      </c>
      <c r="AO30" s="82">
        <f t="shared" si="38"/>
        <v>9600</v>
      </c>
      <c r="AP30" s="82">
        <v>1.2</v>
      </c>
      <c r="AQ30" s="82">
        <v>0.1</v>
      </c>
      <c r="AR30" s="82">
        <f t="shared" si="39"/>
        <v>0.05</v>
      </c>
      <c r="AS30" s="82">
        <f t="shared" si="40"/>
        <v>0.05</v>
      </c>
      <c r="AT30" s="82">
        <f t="shared" si="41"/>
        <v>0.1</v>
      </c>
      <c r="AU30" s="82">
        <f t="shared" si="42"/>
        <v>1.2</v>
      </c>
      <c r="AV30" s="82">
        <f t="shared" si="43"/>
        <v>0.1</v>
      </c>
      <c r="AW30" s="82">
        <f t="shared" si="44"/>
        <v>0.2</v>
      </c>
      <c r="AX30" s="82">
        <f t="shared" si="45"/>
        <v>0.2</v>
      </c>
      <c r="AY30" s="82">
        <f t="shared" si="45"/>
        <v>0.2</v>
      </c>
      <c r="AZ30" s="82">
        <f t="shared" si="46"/>
        <v>0.5</v>
      </c>
      <c r="BA30" s="82">
        <f t="shared" si="47"/>
        <v>4800</v>
      </c>
      <c r="BB30" s="82">
        <f t="shared" si="48"/>
        <v>4800</v>
      </c>
      <c r="BC30" s="82">
        <f t="shared" si="49"/>
        <v>4800</v>
      </c>
      <c r="BD30" s="115">
        <f t="shared" si="50"/>
        <v>4800</v>
      </c>
      <c r="BE30" s="115">
        <f t="shared" si="51"/>
        <v>4800</v>
      </c>
      <c r="BF30" s="115">
        <f t="shared" si="52"/>
        <v>4800</v>
      </c>
      <c r="BG30" s="115">
        <f t="shared" si="115"/>
        <v>60</v>
      </c>
      <c r="BH30" s="115">
        <f t="shared" si="108"/>
        <v>60</v>
      </c>
      <c r="BI30" s="115">
        <f t="shared" si="119"/>
        <v>69</v>
      </c>
      <c r="BJ30" s="115">
        <f t="shared" si="109"/>
        <v>69</v>
      </c>
      <c r="BK30" s="115">
        <f t="shared" si="110"/>
        <v>69</v>
      </c>
      <c r="BL30" s="115">
        <f t="shared" si="111"/>
        <v>69</v>
      </c>
      <c r="BM30" s="115">
        <f t="shared" si="8"/>
        <v>8</v>
      </c>
      <c r="BN30" s="115">
        <f>BM30/1.5</f>
        <v>5</v>
      </c>
      <c r="BO30" s="115">
        <f t="shared" si="57"/>
        <v>7200</v>
      </c>
      <c r="BP30" s="115">
        <f>BO30*5</f>
        <v>36000</v>
      </c>
      <c r="BQ30" s="115">
        <f t="shared" si="9"/>
        <v>60</v>
      </c>
      <c r="BR30" s="116">
        <f t="shared" si="10"/>
        <v>588</v>
      </c>
      <c r="BS30" s="116">
        <f t="shared" si="11"/>
        <v>180</v>
      </c>
    </row>
    <row r="31" spans="2:71" x14ac:dyDescent="0.25">
      <c r="B31" s="80">
        <f t="shared" si="59"/>
        <v>27</v>
      </c>
      <c r="C31" s="81" t="s">
        <v>140</v>
      </c>
      <c r="D31" s="87">
        <v>59875</v>
      </c>
      <c r="E31" s="87">
        <f t="shared" si="95"/>
        <v>2000</v>
      </c>
      <c r="F31" s="82">
        <f t="shared" si="96"/>
        <v>20</v>
      </c>
      <c r="G31" s="80">
        <f t="shared" si="97"/>
        <v>200</v>
      </c>
      <c r="H31" s="83">
        <f t="shared" si="98"/>
        <v>100</v>
      </c>
      <c r="I31" s="84">
        <f t="shared" si="99"/>
        <v>400</v>
      </c>
      <c r="J31" s="114">
        <f t="shared" si="15"/>
        <v>5</v>
      </c>
      <c r="K31" s="114">
        <f t="shared" si="16"/>
        <v>4</v>
      </c>
      <c r="L31" s="114">
        <f t="shared" si="100"/>
        <v>5</v>
      </c>
      <c r="M31" s="114">
        <f t="shared" si="17"/>
        <v>6</v>
      </c>
      <c r="N31" s="114">
        <f t="shared" si="101"/>
        <v>3</v>
      </c>
      <c r="O31" s="114">
        <f t="shared" si="102"/>
        <v>3</v>
      </c>
      <c r="P31" s="114">
        <f t="shared" si="103"/>
        <v>2</v>
      </c>
      <c r="Q31" s="115">
        <f t="shared" si="20"/>
        <v>25</v>
      </c>
      <c r="R31" s="82">
        <f t="shared" si="118"/>
        <v>30</v>
      </c>
      <c r="S31" s="116">
        <f t="shared" si="22"/>
        <v>20</v>
      </c>
      <c r="T31" s="80">
        <f t="shared" si="104"/>
        <v>6.25</v>
      </c>
      <c r="U31" s="80">
        <f t="shared" si="83"/>
        <v>3.5</v>
      </c>
      <c r="V31" s="82">
        <f t="shared" si="84"/>
        <v>10.5</v>
      </c>
      <c r="W31" s="82">
        <f t="shared" si="114"/>
        <v>10.5</v>
      </c>
      <c r="X31" s="80">
        <f t="shared" si="25"/>
        <v>4.5</v>
      </c>
      <c r="Y31" s="80">
        <f t="shared" si="26"/>
        <v>2.7</v>
      </c>
      <c r="Z31" s="80">
        <f t="shared" si="27"/>
        <v>3</v>
      </c>
      <c r="AA31" s="80">
        <v>9</v>
      </c>
      <c r="AB31" s="80">
        <f t="shared" si="117"/>
        <v>6.25</v>
      </c>
      <c r="AC31" s="82">
        <v>1</v>
      </c>
      <c r="AD31" s="80">
        <v>1</v>
      </c>
      <c r="AE31" s="80">
        <f t="shared" si="116"/>
        <v>5.4</v>
      </c>
      <c r="AF31" s="82">
        <f t="shared" si="30"/>
        <v>5.4</v>
      </c>
      <c r="AG31" s="82">
        <f t="shared" si="105"/>
        <v>1</v>
      </c>
      <c r="AH31" s="82">
        <f t="shared" si="120"/>
        <v>2</v>
      </c>
      <c r="AI31" s="80">
        <f t="shared" si="32"/>
        <v>2</v>
      </c>
      <c r="AJ31" s="80">
        <f t="shared" si="33"/>
        <v>3.5</v>
      </c>
      <c r="AK31" s="115">
        <f t="shared" si="34"/>
        <v>4</v>
      </c>
      <c r="AL31" s="82">
        <f t="shared" si="35"/>
        <v>9</v>
      </c>
      <c r="AM31" s="82">
        <f t="shared" si="106"/>
        <v>5.4</v>
      </c>
      <c r="AN31" s="82">
        <f t="shared" si="107"/>
        <v>2</v>
      </c>
      <c r="AO31" s="82">
        <f t="shared" si="38"/>
        <v>9600</v>
      </c>
      <c r="AP31" s="82">
        <v>1.2</v>
      </c>
      <c r="AQ31" s="82">
        <v>0.1</v>
      </c>
      <c r="AR31" s="82">
        <f t="shared" si="39"/>
        <v>0.05</v>
      </c>
      <c r="AS31" s="82">
        <f t="shared" si="40"/>
        <v>0.05</v>
      </c>
      <c r="AT31" s="82">
        <f t="shared" si="41"/>
        <v>0.1</v>
      </c>
      <c r="AU31" s="82">
        <f t="shared" si="42"/>
        <v>1.2</v>
      </c>
      <c r="AV31" s="82">
        <f t="shared" si="43"/>
        <v>0.1</v>
      </c>
      <c r="AW31" s="82">
        <f t="shared" si="44"/>
        <v>0.2</v>
      </c>
      <c r="AX31" s="82">
        <f t="shared" si="45"/>
        <v>0.2</v>
      </c>
      <c r="AY31" s="82">
        <f t="shared" si="45"/>
        <v>0.2</v>
      </c>
      <c r="AZ31" s="82">
        <f t="shared" si="46"/>
        <v>0.5</v>
      </c>
      <c r="BA31" s="82">
        <f t="shared" si="47"/>
        <v>4800</v>
      </c>
      <c r="BB31" s="82">
        <f t="shared" si="48"/>
        <v>4800</v>
      </c>
      <c r="BC31" s="82">
        <f t="shared" si="49"/>
        <v>4800</v>
      </c>
      <c r="BD31" s="115">
        <f t="shared" si="50"/>
        <v>4800</v>
      </c>
      <c r="BE31" s="115">
        <f t="shared" si="51"/>
        <v>4800</v>
      </c>
      <c r="BF31" s="115">
        <f t="shared" si="52"/>
        <v>4800</v>
      </c>
      <c r="BG31" s="115">
        <f t="shared" si="115"/>
        <v>60</v>
      </c>
      <c r="BH31" s="115">
        <f t="shared" si="108"/>
        <v>60</v>
      </c>
      <c r="BI31" s="115">
        <f t="shared" si="119"/>
        <v>69</v>
      </c>
      <c r="BJ31" s="115">
        <f t="shared" si="109"/>
        <v>69</v>
      </c>
      <c r="BK31" s="115">
        <f t="shared" si="110"/>
        <v>69</v>
      </c>
      <c r="BL31" s="115">
        <f t="shared" si="111"/>
        <v>69</v>
      </c>
      <c r="BM31" s="115">
        <f t="shared" si="8"/>
        <v>8</v>
      </c>
      <c r="BN31" s="115">
        <f t="shared" ref="BN31:BN48" si="121">BM31/1.5</f>
        <v>5</v>
      </c>
      <c r="BO31" s="115">
        <f t="shared" si="57"/>
        <v>7200</v>
      </c>
      <c r="BP31" s="115">
        <f t="shared" ref="BP31:BP48" si="122">BO31*5</f>
        <v>36000</v>
      </c>
      <c r="BQ31" s="115">
        <f t="shared" si="9"/>
        <v>60</v>
      </c>
      <c r="BR31" s="116">
        <f t="shared" si="10"/>
        <v>1996</v>
      </c>
      <c r="BS31" s="116">
        <f t="shared" si="11"/>
        <v>180</v>
      </c>
    </row>
    <row r="32" spans="2:71" x14ac:dyDescent="0.25">
      <c r="B32" s="80">
        <f t="shared" si="59"/>
        <v>28</v>
      </c>
      <c r="C32" s="81" t="s">
        <v>141</v>
      </c>
      <c r="D32" s="87">
        <v>11348</v>
      </c>
      <c r="E32" s="87">
        <f t="shared" si="95"/>
        <v>1000</v>
      </c>
      <c r="F32" s="82">
        <f t="shared" si="96"/>
        <v>10</v>
      </c>
      <c r="G32" s="80">
        <f t="shared" si="97"/>
        <v>100</v>
      </c>
      <c r="H32" s="83">
        <f t="shared" si="98"/>
        <v>19</v>
      </c>
      <c r="I32" s="84">
        <f t="shared" si="99"/>
        <v>400</v>
      </c>
      <c r="J32" s="114">
        <f t="shared" si="15"/>
        <v>5</v>
      </c>
      <c r="K32" s="114">
        <f t="shared" si="16"/>
        <v>4</v>
      </c>
      <c r="L32" s="114">
        <f t="shared" si="100"/>
        <v>5</v>
      </c>
      <c r="M32" s="114">
        <f t="shared" si="17"/>
        <v>6</v>
      </c>
      <c r="N32" s="114">
        <f t="shared" si="101"/>
        <v>3</v>
      </c>
      <c r="O32" s="114">
        <f t="shared" si="102"/>
        <v>3</v>
      </c>
      <c r="P32" s="114">
        <f t="shared" si="103"/>
        <v>2</v>
      </c>
      <c r="Q32" s="115">
        <f>IF(I32&lt;201,15,20)</f>
        <v>20</v>
      </c>
      <c r="R32" s="82">
        <f t="shared" si="118"/>
        <v>24</v>
      </c>
      <c r="S32" s="116">
        <f t="shared" si="22"/>
        <v>15</v>
      </c>
      <c r="T32" s="80">
        <f t="shared" si="104"/>
        <v>5</v>
      </c>
      <c r="U32" s="80">
        <f t="shared" si="83"/>
        <v>3.5</v>
      </c>
      <c r="V32" s="82">
        <v>7.5</v>
      </c>
      <c r="W32" s="82">
        <f t="shared" si="114"/>
        <v>7.5</v>
      </c>
      <c r="X32" s="80">
        <f t="shared" si="25"/>
        <v>4.5</v>
      </c>
      <c r="Y32" s="80">
        <f t="shared" si="26"/>
        <v>2.7</v>
      </c>
      <c r="Z32" s="80">
        <f t="shared" si="27"/>
        <v>3</v>
      </c>
      <c r="AA32" s="80">
        <f t="shared" si="28"/>
        <v>8</v>
      </c>
      <c r="AB32" s="80">
        <f t="shared" si="117"/>
        <v>5</v>
      </c>
      <c r="AC32" s="82">
        <v>1</v>
      </c>
      <c r="AD32" s="80">
        <v>1</v>
      </c>
      <c r="AE32" s="80">
        <f t="shared" si="116"/>
        <v>5.4</v>
      </c>
      <c r="AF32" s="82">
        <f t="shared" si="30"/>
        <v>5.4</v>
      </c>
      <c r="AG32" s="82">
        <f t="shared" si="105"/>
        <v>1</v>
      </c>
      <c r="AH32" s="82">
        <f t="shared" si="120"/>
        <v>2</v>
      </c>
      <c r="AI32" s="80">
        <f t="shared" si="32"/>
        <v>2</v>
      </c>
      <c r="AJ32" s="80">
        <f t="shared" si="33"/>
        <v>3.5</v>
      </c>
      <c r="AK32" s="115">
        <f t="shared" si="34"/>
        <v>4</v>
      </c>
      <c r="AL32" s="82">
        <f t="shared" si="35"/>
        <v>8</v>
      </c>
      <c r="AM32" s="82">
        <f t="shared" si="106"/>
        <v>5.4</v>
      </c>
      <c r="AN32" s="82">
        <f t="shared" si="107"/>
        <v>2</v>
      </c>
      <c r="AO32" s="82">
        <f t="shared" si="38"/>
        <v>9600</v>
      </c>
      <c r="AP32" s="82">
        <f t="shared" si="61"/>
        <v>1.1000000000000001</v>
      </c>
      <c r="AQ32" s="82">
        <v>0.1</v>
      </c>
      <c r="AR32" s="82">
        <f t="shared" si="39"/>
        <v>0.05</v>
      </c>
      <c r="AS32" s="82">
        <f t="shared" si="40"/>
        <v>0.05</v>
      </c>
      <c r="AT32" s="82">
        <f t="shared" si="41"/>
        <v>0.1</v>
      </c>
      <c r="AU32" s="82">
        <f t="shared" si="42"/>
        <v>1.1000000000000001</v>
      </c>
      <c r="AV32" s="82">
        <f t="shared" si="43"/>
        <v>0.1</v>
      </c>
      <c r="AW32" s="82">
        <f t="shared" si="44"/>
        <v>0.2</v>
      </c>
      <c r="AX32" s="82">
        <f t="shared" si="45"/>
        <v>0.2</v>
      </c>
      <c r="AY32" s="82">
        <f t="shared" si="45"/>
        <v>0.2</v>
      </c>
      <c r="AZ32" s="82">
        <f t="shared" si="46"/>
        <v>0.5</v>
      </c>
      <c r="BA32" s="82">
        <f t="shared" si="47"/>
        <v>4800</v>
      </c>
      <c r="BB32" s="82">
        <f t="shared" si="48"/>
        <v>4800</v>
      </c>
      <c r="BC32" s="82">
        <f t="shared" si="49"/>
        <v>4800</v>
      </c>
      <c r="BD32" s="115">
        <f t="shared" si="50"/>
        <v>4800</v>
      </c>
      <c r="BE32" s="115">
        <f t="shared" si="51"/>
        <v>4800</v>
      </c>
      <c r="BF32" s="115">
        <f t="shared" si="52"/>
        <v>4800</v>
      </c>
      <c r="BG32" s="115">
        <f t="shared" si="115"/>
        <v>60</v>
      </c>
      <c r="BH32" s="115">
        <f t="shared" si="108"/>
        <v>60</v>
      </c>
      <c r="BI32" s="115">
        <f t="shared" si="119"/>
        <v>69</v>
      </c>
      <c r="BJ32" s="115">
        <f t="shared" si="109"/>
        <v>69</v>
      </c>
      <c r="BK32" s="115">
        <f t="shared" si="110"/>
        <v>69</v>
      </c>
      <c r="BL32" s="115">
        <f t="shared" si="111"/>
        <v>69</v>
      </c>
      <c r="BM32" s="115">
        <f t="shared" si="8"/>
        <v>8</v>
      </c>
      <c r="BN32" s="115">
        <f t="shared" si="121"/>
        <v>5</v>
      </c>
      <c r="BO32" s="115">
        <f t="shared" si="57"/>
        <v>7200</v>
      </c>
      <c r="BP32" s="115">
        <f t="shared" si="122"/>
        <v>36000</v>
      </c>
      <c r="BQ32" s="115">
        <f t="shared" si="9"/>
        <v>60</v>
      </c>
      <c r="BR32" s="116">
        <f t="shared" si="10"/>
        <v>378</v>
      </c>
      <c r="BS32" s="116">
        <f t="shared" si="11"/>
        <v>160</v>
      </c>
    </row>
    <row r="33" spans="2:71" x14ac:dyDescent="0.25">
      <c r="B33" s="80">
        <f t="shared" si="59"/>
        <v>29</v>
      </c>
      <c r="C33" s="81" t="s">
        <v>142</v>
      </c>
      <c r="D33" s="87">
        <v>23711</v>
      </c>
      <c r="E33" s="87">
        <f t="shared" si="95"/>
        <v>2000</v>
      </c>
      <c r="F33" s="82">
        <f t="shared" si="96"/>
        <v>20</v>
      </c>
      <c r="G33" s="80">
        <f t="shared" si="97"/>
        <v>200</v>
      </c>
      <c r="H33" s="83">
        <f t="shared" si="98"/>
        <v>40</v>
      </c>
      <c r="I33" s="84">
        <f t="shared" si="99"/>
        <v>400</v>
      </c>
      <c r="J33" s="114">
        <f t="shared" si="15"/>
        <v>5</v>
      </c>
      <c r="K33" s="114">
        <f t="shared" si="16"/>
        <v>4</v>
      </c>
      <c r="L33" s="114">
        <f t="shared" si="100"/>
        <v>5</v>
      </c>
      <c r="M33" s="114">
        <f t="shared" si="17"/>
        <v>6</v>
      </c>
      <c r="N33" s="114">
        <f t="shared" si="101"/>
        <v>3</v>
      </c>
      <c r="O33" s="114">
        <f t="shared" si="102"/>
        <v>3</v>
      </c>
      <c r="P33" s="114">
        <f t="shared" si="103"/>
        <v>2</v>
      </c>
      <c r="Q33" s="115">
        <f t="shared" si="20"/>
        <v>25</v>
      </c>
      <c r="R33" s="82">
        <f>Q33*1.2</f>
        <v>30</v>
      </c>
      <c r="S33" s="116">
        <f t="shared" si="22"/>
        <v>20</v>
      </c>
      <c r="T33" s="80">
        <f>(Q33/4)+2.5</f>
        <v>8.75</v>
      </c>
      <c r="U33" s="80">
        <f t="shared" si="83"/>
        <v>3.5</v>
      </c>
      <c r="V33" s="82">
        <f t="shared" si="84"/>
        <v>10.5</v>
      </c>
      <c r="W33" s="82">
        <f t="shared" si="114"/>
        <v>10.5</v>
      </c>
      <c r="X33" s="80">
        <f t="shared" si="25"/>
        <v>4.5</v>
      </c>
      <c r="Y33" s="80">
        <v>4</v>
      </c>
      <c r="Z33" s="80">
        <f t="shared" si="27"/>
        <v>3</v>
      </c>
      <c r="AA33" s="80">
        <f t="shared" si="28"/>
        <v>10</v>
      </c>
      <c r="AB33" s="80">
        <f t="shared" si="117"/>
        <v>8.75</v>
      </c>
      <c r="AC33" s="82">
        <v>1</v>
      </c>
      <c r="AD33" s="80">
        <f t="shared" si="29"/>
        <v>2</v>
      </c>
      <c r="AE33" s="80">
        <f t="shared" si="116"/>
        <v>8</v>
      </c>
      <c r="AF33" s="82">
        <f t="shared" si="30"/>
        <v>8</v>
      </c>
      <c r="AG33" s="82">
        <f t="shared" si="105"/>
        <v>2</v>
      </c>
      <c r="AH33" s="82">
        <f t="shared" si="120"/>
        <v>4</v>
      </c>
      <c r="AI33" s="80">
        <f t="shared" si="32"/>
        <v>4</v>
      </c>
      <c r="AJ33" s="80">
        <f t="shared" si="33"/>
        <v>3.5</v>
      </c>
      <c r="AK33" s="115">
        <f t="shared" si="34"/>
        <v>4</v>
      </c>
      <c r="AL33" s="82">
        <f t="shared" si="35"/>
        <v>10</v>
      </c>
      <c r="AM33" s="82">
        <f t="shared" si="106"/>
        <v>8</v>
      </c>
      <c r="AN33" s="82">
        <f t="shared" si="107"/>
        <v>4</v>
      </c>
      <c r="AO33" s="82">
        <f t="shared" si="38"/>
        <v>9600</v>
      </c>
      <c r="AP33" s="82">
        <f t="shared" si="61"/>
        <v>1.1000000000000001</v>
      </c>
      <c r="AQ33" s="82">
        <v>0.1</v>
      </c>
      <c r="AR33" s="82">
        <f t="shared" si="39"/>
        <v>0.05</v>
      </c>
      <c r="AS33" s="82">
        <f t="shared" si="40"/>
        <v>0.05</v>
      </c>
      <c r="AT33" s="82">
        <f t="shared" si="41"/>
        <v>0.1</v>
      </c>
      <c r="AU33" s="82">
        <f t="shared" si="42"/>
        <v>1.1000000000000001</v>
      </c>
      <c r="AV33" s="82">
        <f t="shared" si="43"/>
        <v>0.1</v>
      </c>
      <c r="AW33" s="82">
        <f t="shared" si="44"/>
        <v>0.2</v>
      </c>
      <c r="AX33" s="82">
        <f t="shared" si="45"/>
        <v>0.2</v>
      </c>
      <c r="AY33" s="82">
        <f t="shared" si="45"/>
        <v>0.2</v>
      </c>
      <c r="AZ33" s="82">
        <f t="shared" si="46"/>
        <v>0.5</v>
      </c>
      <c r="BA33" s="82">
        <f t="shared" si="47"/>
        <v>4800</v>
      </c>
      <c r="BB33" s="82">
        <f t="shared" si="48"/>
        <v>4800</v>
      </c>
      <c r="BC33" s="82">
        <f t="shared" si="49"/>
        <v>4800</v>
      </c>
      <c r="BD33" s="115">
        <f t="shared" si="50"/>
        <v>4800</v>
      </c>
      <c r="BE33" s="115">
        <f t="shared" si="51"/>
        <v>4800</v>
      </c>
      <c r="BF33" s="115">
        <f t="shared" si="52"/>
        <v>4800</v>
      </c>
      <c r="BG33" s="115">
        <f t="shared" si="115"/>
        <v>60</v>
      </c>
      <c r="BH33" s="115">
        <f t="shared" si="108"/>
        <v>60</v>
      </c>
      <c r="BI33" s="115">
        <f t="shared" si="119"/>
        <v>69</v>
      </c>
      <c r="BJ33" s="115">
        <f t="shared" si="109"/>
        <v>69</v>
      </c>
      <c r="BK33" s="115">
        <f t="shared" si="110"/>
        <v>69</v>
      </c>
      <c r="BL33" s="115">
        <f t="shared" si="111"/>
        <v>69</v>
      </c>
      <c r="BM33" s="115">
        <f t="shared" si="8"/>
        <v>8</v>
      </c>
      <c r="BN33" s="115">
        <f t="shared" si="121"/>
        <v>5</v>
      </c>
      <c r="BO33" s="115">
        <f t="shared" si="57"/>
        <v>7200</v>
      </c>
      <c r="BP33" s="115">
        <f t="shared" si="122"/>
        <v>36000</v>
      </c>
      <c r="BQ33" s="115">
        <f t="shared" si="9"/>
        <v>60</v>
      </c>
      <c r="BR33" s="116">
        <f t="shared" si="10"/>
        <v>790</v>
      </c>
      <c r="BS33" s="116">
        <f t="shared" si="11"/>
        <v>200</v>
      </c>
    </row>
    <row r="34" spans="2:71" x14ac:dyDescent="0.25">
      <c r="B34" s="80">
        <f t="shared" si="59"/>
        <v>30</v>
      </c>
      <c r="C34" s="81" t="s">
        <v>143</v>
      </c>
      <c r="D34" s="87">
        <v>13473</v>
      </c>
      <c r="E34" s="87">
        <f t="shared" si="95"/>
        <v>1000</v>
      </c>
      <c r="F34" s="82">
        <f t="shared" si="96"/>
        <v>10</v>
      </c>
      <c r="G34" s="80">
        <f t="shared" si="97"/>
        <v>100</v>
      </c>
      <c r="H34" s="83">
        <f t="shared" si="98"/>
        <v>22</v>
      </c>
      <c r="I34" s="84">
        <f t="shared" si="99"/>
        <v>400</v>
      </c>
      <c r="J34" s="114">
        <f t="shared" si="15"/>
        <v>5</v>
      </c>
      <c r="K34" s="114">
        <f t="shared" si="16"/>
        <v>4</v>
      </c>
      <c r="L34" s="114">
        <f t="shared" si="100"/>
        <v>5</v>
      </c>
      <c r="M34" s="114">
        <f t="shared" si="17"/>
        <v>6</v>
      </c>
      <c r="N34" s="114">
        <f t="shared" si="101"/>
        <v>3</v>
      </c>
      <c r="O34" s="114">
        <f t="shared" si="102"/>
        <v>3</v>
      </c>
      <c r="P34" s="114">
        <f t="shared" si="103"/>
        <v>2</v>
      </c>
      <c r="Q34" s="115">
        <f>IF(I34&lt;201,15,20)</f>
        <v>20</v>
      </c>
      <c r="R34" s="82">
        <f t="shared" si="118"/>
        <v>24</v>
      </c>
      <c r="S34" s="116">
        <f t="shared" si="22"/>
        <v>15</v>
      </c>
      <c r="T34" s="80">
        <f t="shared" si="104"/>
        <v>5</v>
      </c>
      <c r="U34" s="80">
        <f t="shared" si="83"/>
        <v>3.5</v>
      </c>
      <c r="V34" s="82">
        <f t="shared" si="84"/>
        <v>10.5</v>
      </c>
      <c r="W34" s="82">
        <f t="shared" si="114"/>
        <v>10.5</v>
      </c>
      <c r="X34" s="80">
        <f t="shared" si="25"/>
        <v>4.5</v>
      </c>
      <c r="Y34" s="80">
        <f t="shared" si="26"/>
        <v>2.7</v>
      </c>
      <c r="Z34" s="80">
        <f t="shared" si="27"/>
        <v>3</v>
      </c>
      <c r="AA34" s="80">
        <f t="shared" si="28"/>
        <v>8</v>
      </c>
      <c r="AB34" s="80">
        <f t="shared" si="117"/>
        <v>5</v>
      </c>
      <c r="AC34" s="82">
        <v>1</v>
      </c>
      <c r="AD34" s="80">
        <v>1</v>
      </c>
      <c r="AE34" s="80">
        <v>5</v>
      </c>
      <c r="AF34" s="82">
        <f t="shared" si="30"/>
        <v>5</v>
      </c>
      <c r="AG34" s="82">
        <f t="shared" si="105"/>
        <v>1</v>
      </c>
      <c r="AH34" s="82">
        <f t="shared" si="120"/>
        <v>2</v>
      </c>
      <c r="AI34" s="80">
        <f t="shared" si="32"/>
        <v>2</v>
      </c>
      <c r="AJ34" s="80">
        <f t="shared" si="33"/>
        <v>3.5</v>
      </c>
      <c r="AK34" s="115">
        <f t="shared" si="34"/>
        <v>4</v>
      </c>
      <c r="AL34" s="82">
        <f t="shared" si="35"/>
        <v>8</v>
      </c>
      <c r="AM34" s="82">
        <f t="shared" si="106"/>
        <v>5</v>
      </c>
      <c r="AN34" s="82">
        <f t="shared" si="107"/>
        <v>2</v>
      </c>
      <c r="AO34" s="82">
        <f t="shared" si="38"/>
        <v>9600</v>
      </c>
      <c r="AP34" s="82">
        <f t="shared" si="61"/>
        <v>1.1000000000000001</v>
      </c>
      <c r="AQ34" s="82">
        <v>0.1</v>
      </c>
      <c r="AR34" s="82">
        <f t="shared" si="39"/>
        <v>0.05</v>
      </c>
      <c r="AS34" s="82">
        <f t="shared" si="40"/>
        <v>0.05</v>
      </c>
      <c r="AT34" s="82">
        <f t="shared" si="41"/>
        <v>0.1</v>
      </c>
      <c r="AU34" s="82">
        <v>1.6</v>
      </c>
      <c r="AV34" s="82">
        <f t="shared" si="43"/>
        <v>0.1</v>
      </c>
      <c r="AW34" s="82">
        <f t="shared" si="44"/>
        <v>0.2</v>
      </c>
      <c r="AX34" s="82">
        <f t="shared" si="45"/>
        <v>0.2</v>
      </c>
      <c r="AY34" s="82">
        <f t="shared" si="45"/>
        <v>0.2</v>
      </c>
      <c r="AZ34" s="82">
        <f t="shared" si="46"/>
        <v>0.5</v>
      </c>
      <c r="BA34" s="82">
        <f t="shared" si="47"/>
        <v>4800</v>
      </c>
      <c r="BB34" s="82">
        <f t="shared" si="48"/>
        <v>4800</v>
      </c>
      <c r="BC34" s="82">
        <f t="shared" si="49"/>
        <v>4800</v>
      </c>
      <c r="BD34" s="115">
        <f t="shared" si="50"/>
        <v>4800</v>
      </c>
      <c r="BE34" s="115">
        <f t="shared" si="51"/>
        <v>4800</v>
      </c>
      <c r="BF34" s="115">
        <f t="shared" si="52"/>
        <v>4800</v>
      </c>
      <c r="BG34" s="115">
        <f t="shared" si="115"/>
        <v>60</v>
      </c>
      <c r="BH34" s="115">
        <f t="shared" si="108"/>
        <v>60</v>
      </c>
      <c r="BI34" s="115">
        <f t="shared" si="119"/>
        <v>69</v>
      </c>
      <c r="BJ34" s="115">
        <f t="shared" si="109"/>
        <v>69</v>
      </c>
      <c r="BK34" s="115">
        <f t="shared" si="110"/>
        <v>69</v>
      </c>
      <c r="BL34" s="115">
        <f t="shared" si="111"/>
        <v>69</v>
      </c>
      <c r="BM34" s="115">
        <f t="shared" si="8"/>
        <v>8</v>
      </c>
      <c r="BN34" s="115">
        <f t="shared" si="121"/>
        <v>5</v>
      </c>
      <c r="BO34" s="115">
        <f t="shared" si="57"/>
        <v>7200</v>
      </c>
      <c r="BP34" s="115">
        <f t="shared" si="122"/>
        <v>36000</v>
      </c>
      <c r="BQ34" s="115">
        <f t="shared" si="9"/>
        <v>60</v>
      </c>
      <c r="BR34" s="116">
        <f t="shared" si="10"/>
        <v>449</v>
      </c>
      <c r="BS34" s="116">
        <f t="shared" si="11"/>
        <v>160</v>
      </c>
    </row>
    <row r="35" spans="2:71" x14ac:dyDescent="0.25">
      <c r="B35" s="80">
        <f t="shared" si="59"/>
        <v>31</v>
      </c>
      <c r="C35" s="81" t="s">
        <v>144</v>
      </c>
      <c r="D35" s="87">
        <v>2620</v>
      </c>
      <c r="E35" s="87">
        <f t="shared" si="95"/>
        <v>1000</v>
      </c>
      <c r="F35" s="82">
        <f t="shared" si="96"/>
        <v>10</v>
      </c>
      <c r="G35" s="80">
        <f t="shared" si="97"/>
        <v>100</v>
      </c>
      <c r="H35" s="83">
        <f t="shared" si="98"/>
        <v>4</v>
      </c>
      <c r="I35" s="84">
        <f t="shared" si="99"/>
        <v>200</v>
      </c>
      <c r="J35" s="114">
        <f t="shared" si="15"/>
        <v>2</v>
      </c>
      <c r="K35" s="114">
        <f t="shared" si="16"/>
        <v>2</v>
      </c>
      <c r="L35" s="114">
        <f t="shared" si="100"/>
        <v>2</v>
      </c>
      <c r="M35" s="114">
        <f t="shared" si="17"/>
        <v>3</v>
      </c>
      <c r="N35" s="114">
        <f t="shared" si="101"/>
        <v>2</v>
      </c>
      <c r="O35" s="114">
        <f t="shared" si="102"/>
        <v>2</v>
      </c>
      <c r="P35" s="114">
        <f>(O35/2)+1</f>
        <v>2</v>
      </c>
      <c r="Q35" s="115">
        <f t="shared" si="20"/>
        <v>15</v>
      </c>
      <c r="R35" s="82">
        <f t="shared" si="118"/>
        <v>18</v>
      </c>
      <c r="S35" s="116">
        <f t="shared" si="22"/>
        <v>10</v>
      </c>
      <c r="T35" s="80">
        <f t="shared" si="104"/>
        <v>3.75</v>
      </c>
      <c r="U35" s="80">
        <f t="shared" si="83"/>
        <v>3.5</v>
      </c>
      <c r="V35" s="82">
        <f t="shared" si="84"/>
        <v>10.5</v>
      </c>
      <c r="W35" s="82">
        <f t="shared" si="114"/>
        <v>10.5</v>
      </c>
      <c r="X35" s="80">
        <f t="shared" si="25"/>
        <v>4.5</v>
      </c>
      <c r="Y35" s="80">
        <f t="shared" si="26"/>
        <v>2.7</v>
      </c>
      <c r="Z35" s="80">
        <f t="shared" si="27"/>
        <v>2</v>
      </c>
      <c r="AA35" s="80">
        <f t="shared" si="28"/>
        <v>6</v>
      </c>
      <c r="AB35" s="80">
        <f t="shared" si="117"/>
        <v>3.75</v>
      </c>
      <c r="AC35" s="82">
        <v>1</v>
      </c>
      <c r="AD35" s="80">
        <v>1</v>
      </c>
      <c r="AE35" s="80">
        <v>5</v>
      </c>
      <c r="AF35" s="82">
        <f t="shared" si="30"/>
        <v>5</v>
      </c>
      <c r="AG35" s="82">
        <f t="shared" si="105"/>
        <v>1</v>
      </c>
      <c r="AH35" s="82">
        <f t="shared" si="120"/>
        <v>2</v>
      </c>
      <c r="AI35" s="80">
        <f t="shared" si="32"/>
        <v>2</v>
      </c>
      <c r="AJ35" s="80">
        <f t="shared" si="33"/>
        <v>3.5</v>
      </c>
      <c r="AK35" s="115">
        <f t="shared" si="34"/>
        <v>2</v>
      </c>
      <c r="AL35" s="82">
        <f t="shared" si="35"/>
        <v>6</v>
      </c>
      <c r="AM35" s="82">
        <f t="shared" si="106"/>
        <v>5</v>
      </c>
      <c r="AN35" s="82">
        <f t="shared" si="107"/>
        <v>2</v>
      </c>
      <c r="AO35" s="82">
        <f t="shared" si="38"/>
        <v>5600</v>
      </c>
      <c r="AP35" s="82">
        <f t="shared" si="61"/>
        <v>1.1000000000000001</v>
      </c>
      <c r="AQ35" s="82">
        <v>0</v>
      </c>
      <c r="AR35" s="82">
        <f t="shared" si="39"/>
        <v>0</v>
      </c>
      <c r="AS35" s="82">
        <f t="shared" si="40"/>
        <v>0</v>
      </c>
      <c r="AT35" s="82">
        <f t="shared" si="41"/>
        <v>0</v>
      </c>
      <c r="AU35" s="82">
        <f t="shared" si="42"/>
        <v>1.1000000000000001</v>
      </c>
      <c r="AV35" s="82">
        <f t="shared" si="43"/>
        <v>0</v>
      </c>
      <c r="AW35" s="82">
        <f t="shared" si="44"/>
        <v>0</v>
      </c>
      <c r="AX35" s="82">
        <f t="shared" si="45"/>
        <v>0</v>
      </c>
      <c r="AY35" s="82">
        <f t="shared" si="45"/>
        <v>0</v>
      </c>
      <c r="AZ35" s="82">
        <f t="shared" si="46"/>
        <v>0</v>
      </c>
      <c r="BA35" s="82">
        <f t="shared" si="47"/>
        <v>2800</v>
      </c>
      <c r="BB35" s="82">
        <f t="shared" si="48"/>
        <v>2800</v>
      </c>
      <c r="BC35" s="82">
        <f t="shared" si="49"/>
        <v>2800</v>
      </c>
      <c r="BD35" s="115">
        <f t="shared" si="50"/>
        <v>2800</v>
      </c>
      <c r="BE35" s="115">
        <f t="shared" si="51"/>
        <v>2800</v>
      </c>
      <c r="BF35" s="115">
        <f t="shared" si="52"/>
        <v>2800</v>
      </c>
      <c r="BG35" s="115">
        <f t="shared" si="115"/>
        <v>35</v>
      </c>
      <c r="BH35" s="115">
        <f t="shared" si="108"/>
        <v>35</v>
      </c>
      <c r="BI35" s="115">
        <f t="shared" si="119"/>
        <v>40</v>
      </c>
      <c r="BJ35" s="115">
        <f t="shared" si="109"/>
        <v>40</v>
      </c>
      <c r="BK35" s="115">
        <f t="shared" si="110"/>
        <v>40</v>
      </c>
      <c r="BL35" s="115">
        <f t="shared" si="111"/>
        <v>40</v>
      </c>
      <c r="BM35" s="115">
        <f t="shared" si="8"/>
        <v>3</v>
      </c>
      <c r="BN35" s="115">
        <f t="shared" si="121"/>
        <v>2</v>
      </c>
      <c r="BO35" s="115">
        <f t="shared" si="57"/>
        <v>4200</v>
      </c>
      <c r="BP35" s="115">
        <f t="shared" si="122"/>
        <v>21000</v>
      </c>
      <c r="BQ35" s="115">
        <f t="shared" si="9"/>
        <v>35</v>
      </c>
      <c r="BR35" s="116">
        <f t="shared" si="10"/>
        <v>87</v>
      </c>
      <c r="BS35" s="116">
        <f t="shared" si="11"/>
        <v>120</v>
      </c>
    </row>
    <row r="36" spans="2:71" x14ac:dyDescent="0.25">
      <c r="B36" s="80">
        <f t="shared" si="59"/>
        <v>32</v>
      </c>
      <c r="C36" s="81" t="s">
        <v>145</v>
      </c>
      <c r="D36" s="87">
        <v>4725</v>
      </c>
      <c r="E36" s="87">
        <f t="shared" si="95"/>
        <v>1000</v>
      </c>
      <c r="F36" s="82">
        <f t="shared" si="96"/>
        <v>10</v>
      </c>
      <c r="G36" s="80">
        <f t="shared" si="97"/>
        <v>100</v>
      </c>
      <c r="H36" s="83">
        <f t="shared" si="98"/>
        <v>8</v>
      </c>
      <c r="I36" s="84">
        <f t="shared" si="99"/>
        <v>200</v>
      </c>
      <c r="J36" s="114">
        <f t="shared" si="15"/>
        <v>2</v>
      </c>
      <c r="K36" s="114">
        <f t="shared" si="16"/>
        <v>2</v>
      </c>
      <c r="L36" s="114">
        <f t="shared" si="100"/>
        <v>2</v>
      </c>
      <c r="M36" s="114">
        <f t="shared" si="17"/>
        <v>3</v>
      </c>
      <c r="N36" s="114">
        <f t="shared" si="101"/>
        <v>2</v>
      </c>
      <c r="O36" s="114">
        <f t="shared" si="102"/>
        <v>2</v>
      </c>
      <c r="P36" s="114">
        <f t="shared" si="103"/>
        <v>1</v>
      </c>
      <c r="Q36" s="115">
        <f t="shared" si="20"/>
        <v>15</v>
      </c>
      <c r="R36" s="82">
        <f t="shared" si="118"/>
        <v>18</v>
      </c>
      <c r="S36" s="116">
        <f t="shared" si="22"/>
        <v>10</v>
      </c>
      <c r="T36" s="80">
        <f t="shared" si="104"/>
        <v>3.75</v>
      </c>
      <c r="U36" s="80">
        <f t="shared" si="83"/>
        <v>3.5</v>
      </c>
      <c r="V36" s="82">
        <f t="shared" si="84"/>
        <v>10.5</v>
      </c>
      <c r="W36" s="82">
        <f t="shared" si="114"/>
        <v>10.5</v>
      </c>
      <c r="X36" s="80">
        <f t="shared" si="25"/>
        <v>4.5</v>
      </c>
      <c r="Y36" s="80">
        <f t="shared" si="26"/>
        <v>2.7</v>
      </c>
      <c r="Z36" s="80">
        <f t="shared" si="27"/>
        <v>2</v>
      </c>
      <c r="AA36" s="80">
        <f t="shared" si="28"/>
        <v>6</v>
      </c>
      <c r="AB36" s="80">
        <f t="shared" si="117"/>
        <v>3.75</v>
      </c>
      <c r="AC36" s="82">
        <v>1</v>
      </c>
      <c r="AD36" s="80">
        <v>1</v>
      </c>
      <c r="AE36" s="80">
        <v>5</v>
      </c>
      <c r="AF36" s="82">
        <f t="shared" si="30"/>
        <v>5</v>
      </c>
      <c r="AG36" s="82">
        <f t="shared" si="105"/>
        <v>1</v>
      </c>
      <c r="AH36" s="82">
        <f t="shared" si="120"/>
        <v>2</v>
      </c>
      <c r="AI36" s="80">
        <f t="shared" si="32"/>
        <v>2</v>
      </c>
      <c r="AJ36" s="80">
        <f t="shared" si="33"/>
        <v>3.5</v>
      </c>
      <c r="AK36" s="115">
        <f t="shared" si="34"/>
        <v>2</v>
      </c>
      <c r="AL36" s="82">
        <f t="shared" si="35"/>
        <v>6</v>
      </c>
      <c r="AM36" s="82">
        <f t="shared" si="106"/>
        <v>5</v>
      </c>
      <c r="AN36" s="82">
        <f t="shared" si="107"/>
        <v>2</v>
      </c>
      <c r="AO36" s="82">
        <f t="shared" si="38"/>
        <v>5600</v>
      </c>
      <c r="AP36" s="82">
        <v>1.2</v>
      </c>
      <c r="AQ36" s="82">
        <v>0.1</v>
      </c>
      <c r="AR36" s="82">
        <f t="shared" si="39"/>
        <v>0.05</v>
      </c>
      <c r="AS36" s="82">
        <f t="shared" si="40"/>
        <v>0.05</v>
      </c>
      <c r="AT36" s="82">
        <f t="shared" si="41"/>
        <v>0.1</v>
      </c>
      <c r="AU36" s="82">
        <f t="shared" si="42"/>
        <v>1.2</v>
      </c>
      <c r="AV36" s="82">
        <f t="shared" si="43"/>
        <v>0.1</v>
      </c>
      <c r="AW36" s="82">
        <f t="shared" si="44"/>
        <v>0.2</v>
      </c>
      <c r="AX36" s="82">
        <f t="shared" si="45"/>
        <v>0.2</v>
      </c>
      <c r="AY36" s="82">
        <f t="shared" si="45"/>
        <v>0.2</v>
      </c>
      <c r="AZ36" s="82">
        <f t="shared" si="46"/>
        <v>0.5</v>
      </c>
      <c r="BA36" s="82">
        <v>2200</v>
      </c>
      <c r="BB36" s="82">
        <f t="shared" si="48"/>
        <v>2200</v>
      </c>
      <c r="BC36" s="82">
        <f t="shared" si="49"/>
        <v>2200</v>
      </c>
      <c r="BD36" s="115">
        <f t="shared" si="50"/>
        <v>2200</v>
      </c>
      <c r="BE36" s="115">
        <f t="shared" si="51"/>
        <v>2200</v>
      </c>
      <c r="BF36" s="115">
        <f t="shared" si="52"/>
        <v>2200</v>
      </c>
      <c r="BG36" s="115">
        <f t="shared" si="115"/>
        <v>35</v>
      </c>
      <c r="BH36" s="115">
        <f t="shared" si="108"/>
        <v>35</v>
      </c>
      <c r="BI36" s="115">
        <f t="shared" si="119"/>
        <v>40</v>
      </c>
      <c r="BJ36" s="115">
        <f t="shared" si="109"/>
        <v>40</v>
      </c>
      <c r="BK36" s="115">
        <f t="shared" si="110"/>
        <v>40</v>
      </c>
      <c r="BL36" s="115">
        <f t="shared" si="111"/>
        <v>40</v>
      </c>
      <c r="BM36" s="115">
        <f t="shared" si="8"/>
        <v>3</v>
      </c>
      <c r="BN36" s="115">
        <f t="shared" si="121"/>
        <v>2</v>
      </c>
      <c r="BO36" s="115">
        <v>2500</v>
      </c>
      <c r="BP36" s="115">
        <f t="shared" si="122"/>
        <v>12500</v>
      </c>
      <c r="BQ36" s="115">
        <f t="shared" si="9"/>
        <v>35</v>
      </c>
      <c r="BR36" s="116">
        <f t="shared" si="10"/>
        <v>158</v>
      </c>
      <c r="BS36" s="116">
        <f t="shared" si="11"/>
        <v>120</v>
      </c>
    </row>
    <row r="37" spans="2:71" x14ac:dyDescent="0.25">
      <c r="B37" s="80">
        <f t="shared" si="59"/>
        <v>33</v>
      </c>
      <c r="C37" s="81" t="s">
        <v>146</v>
      </c>
      <c r="D37" s="87">
        <v>3886</v>
      </c>
      <c r="E37" s="87">
        <f t="shared" si="95"/>
        <v>1000</v>
      </c>
      <c r="F37" s="82">
        <f t="shared" si="96"/>
        <v>10</v>
      </c>
      <c r="G37" s="80">
        <f t="shared" si="97"/>
        <v>100</v>
      </c>
      <c r="H37" s="83">
        <f t="shared" si="98"/>
        <v>6</v>
      </c>
      <c r="I37" s="84">
        <f t="shared" si="99"/>
        <v>200</v>
      </c>
      <c r="J37" s="114">
        <f t="shared" si="15"/>
        <v>2</v>
      </c>
      <c r="K37" s="114">
        <f t="shared" si="16"/>
        <v>2</v>
      </c>
      <c r="L37" s="114">
        <f t="shared" si="100"/>
        <v>2</v>
      </c>
      <c r="M37" s="114">
        <f t="shared" si="17"/>
        <v>3</v>
      </c>
      <c r="N37" s="114">
        <f t="shared" si="101"/>
        <v>2</v>
      </c>
      <c r="O37" s="114">
        <f t="shared" si="102"/>
        <v>2</v>
      </c>
      <c r="P37" s="114">
        <f t="shared" si="103"/>
        <v>1</v>
      </c>
      <c r="Q37" s="115">
        <f t="shared" si="20"/>
        <v>15</v>
      </c>
      <c r="R37" s="82">
        <f t="shared" si="118"/>
        <v>18</v>
      </c>
      <c r="S37" s="116">
        <f t="shared" si="22"/>
        <v>10</v>
      </c>
      <c r="T37" s="80">
        <f t="shared" si="104"/>
        <v>3.75</v>
      </c>
      <c r="U37" s="80">
        <f t="shared" si="83"/>
        <v>3.5</v>
      </c>
      <c r="V37" s="82">
        <f t="shared" si="84"/>
        <v>10.5</v>
      </c>
      <c r="W37" s="82">
        <f t="shared" si="114"/>
        <v>10.5</v>
      </c>
      <c r="X37" s="80">
        <f t="shared" si="25"/>
        <v>4.5</v>
      </c>
      <c r="Y37" s="80">
        <f t="shared" si="26"/>
        <v>2.7</v>
      </c>
      <c r="Z37" s="80">
        <f t="shared" si="27"/>
        <v>2</v>
      </c>
      <c r="AA37" s="80">
        <f t="shared" si="28"/>
        <v>6</v>
      </c>
      <c r="AB37" s="80">
        <f t="shared" si="117"/>
        <v>3.75</v>
      </c>
      <c r="AC37" s="82">
        <v>1</v>
      </c>
      <c r="AD37" s="80">
        <v>1</v>
      </c>
      <c r="AE37" s="80">
        <v>5</v>
      </c>
      <c r="AF37" s="82">
        <f t="shared" si="30"/>
        <v>5</v>
      </c>
      <c r="AG37" s="82">
        <f t="shared" si="105"/>
        <v>1</v>
      </c>
      <c r="AH37" s="82">
        <f t="shared" si="120"/>
        <v>2</v>
      </c>
      <c r="AI37" s="80">
        <f t="shared" si="32"/>
        <v>2</v>
      </c>
      <c r="AJ37" s="80">
        <f t="shared" si="33"/>
        <v>3.5</v>
      </c>
      <c r="AK37" s="115">
        <f t="shared" si="34"/>
        <v>2</v>
      </c>
      <c r="AL37" s="82">
        <f t="shared" si="35"/>
        <v>6</v>
      </c>
      <c r="AM37" s="82">
        <f t="shared" si="106"/>
        <v>5</v>
      </c>
      <c r="AN37" s="82">
        <f t="shared" si="107"/>
        <v>2</v>
      </c>
      <c r="AO37" s="82">
        <f t="shared" si="38"/>
        <v>5600</v>
      </c>
      <c r="AP37" s="82">
        <v>1.2</v>
      </c>
      <c r="AQ37" s="82">
        <v>0.1</v>
      </c>
      <c r="AR37" s="82">
        <f t="shared" si="39"/>
        <v>0.05</v>
      </c>
      <c r="AS37" s="82">
        <f t="shared" si="40"/>
        <v>0.05</v>
      </c>
      <c r="AT37" s="82">
        <f t="shared" si="41"/>
        <v>0.1</v>
      </c>
      <c r="AU37" s="82">
        <f t="shared" si="42"/>
        <v>1.2</v>
      </c>
      <c r="AV37" s="82">
        <f t="shared" si="43"/>
        <v>0.1</v>
      </c>
      <c r="AW37" s="82">
        <f t="shared" si="44"/>
        <v>0.2</v>
      </c>
      <c r="AX37" s="82">
        <f t="shared" si="45"/>
        <v>0.2</v>
      </c>
      <c r="AY37" s="82">
        <f t="shared" si="45"/>
        <v>0.2</v>
      </c>
      <c r="AZ37" s="82">
        <f t="shared" si="46"/>
        <v>0.5</v>
      </c>
      <c r="BA37" s="82">
        <f t="shared" si="47"/>
        <v>2800</v>
      </c>
      <c r="BB37" s="82">
        <f t="shared" si="48"/>
        <v>2800</v>
      </c>
      <c r="BC37" s="82">
        <f t="shared" si="49"/>
        <v>2800</v>
      </c>
      <c r="BD37" s="115">
        <f t="shared" si="50"/>
        <v>2800</v>
      </c>
      <c r="BE37" s="115">
        <f t="shared" si="51"/>
        <v>2800</v>
      </c>
      <c r="BF37" s="115">
        <f t="shared" si="52"/>
        <v>2800</v>
      </c>
      <c r="BG37" s="115">
        <f t="shared" si="115"/>
        <v>35</v>
      </c>
      <c r="BH37" s="115">
        <f t="shared" si="108"/>
        <v>35</v>
      </c>
      <c r="BI37" s="115">
        <f t="shared" si="119"/>
        <v>40</v>
      </c>
      <c r="BJ37" s="115">
        <f t="shared" si="109"/>
        <v>40</v>
      </c>
      <c r="BK37" s="115">
        <f t="shared" si="110"/>
        <v>40</v>
      </c>
      <c r="BL37" s="115">
        <f t="shared" si="111"/>
        <v>40</v>
      </c>
      <c r="BM37" s="115">
        <f t="shared" si="8"/>
        <v>3</v>
      </c>
      <c r="BN37" s="115">
        <f t="shared" si="121"/>
        <v>2</v>
      </c>
      <c r="BO37" s="115">
        <f t="shared" si="57"/>
        <v>4200</v>
      </c>
      <c r="BP37" s="115">
        <f t="shared" si="122"/>
        <v>21000</v>
      </c>
      <c r="BQ37" s="115">
        <f t="shared" si="9"/>
        <v>35</v>
      </c>
      <c r="BR37" s="116">
        <f t="shared" si="10"/>
        <v>130</v>
      </c>
      <c r="BS37" s="116">
        <f t="shared" si="11"/>
        <v>120</v>
      </c>
    </row>
    <row r="38" spans="2:71" x14ac:dyDescent="0.25">
      <c r="B38" s="80">
        <f t="shared" si="59"/>
        <v>34</v>
      </c>
      <c r="C38" s="81" t="s">
        <v>218</v>
      </c>
      <c r="D38" s="87">
        <v>12562</v>
      </c>
      <c r="E38" s="87">
        <f t="shared" si="95"/>
        <v>1000</v>
      </c>
      <c r="F38" s="82">
        <f t="shared" si="96"/>
        <v>10</v>
      </c>
      <c r="G38" s="80">
        <f t="shared" si="97"/>
        <v>100</v>
      </c>
      <c r="H38" s="83">
        <f t="shared" si="98"/>
        <v>21</v>
      </c>
      <c r="I38" s="84">
        <f t="shared" si="99"/>
        <v>400</v>
      </c>
      <c r="J38" s="114">
        <f t="shared" si="15"/>
        <v>5</v>
      </c>
      <c r="K38" s="114">
        <f t="shared" si="16"/>
        <v>4</v>
      </c>
      <c r="L38" s="114">
        <f t="shared" si="100"/>
        <v>5</v>
      </c>
      <c r="M38" s="114">
        <f t="shared" si="17"/>
        <v>6</v>
      </c>
      <c r="N38" s="114">
        <f t="shared" si="101"/>
        <v>3</v>
      </c>
      <c r="O38" s="114">
        <f t="shared" si="102"/>
        <v>3</v>
      </c>
      <c r="P38" s="114">
        <f t="shared" si="103"/>
        <v>2</v>
      </c>
      <c r="Q38" s="115">
        <f>IF(I38&lt;201,15,20)</f>
        <v>20</v>
      </c>
      <c r="R38" s="82">
        <f>Q38*1.2</f>
        <v>24</v>
      </c>
      <c r="S38" s="116">
        <f t="shared" si="22"/>
        <v>15</v>
      </c>
      <c r="T38" s="80">
        <f t="shared" si="104"/>
        <v>5</v>
      </c>
      <c r="U38" s="80">
        <f t="shared" si="83"/>
        <v>3.5</v>
      </c>
      <c r="V38" s="82">
        <v>7.5</v>
      </c>
      <c r="W38" s="82">
        <f t="shared" si="114"/>
        <v>7.5</v>
      </c>
      <c r="X38" s="80">
        <f t="shared" si="25"/>
        <v>4.5</v>
      </c>
      <c r="Y38" s="80">
        <f t="shared" si="26"/>
        <v>2.7</v>
      </c>
      <c r="Z38" s="80">
        <f t="shared" si="27"/>
        <v>3</v>
      </c>
      <c r="AA38" s="80">
        <f t="shared" si="28"/>
        <v>8</v>
      </c>
      <c r="AB38" s="80">
        <f t="shared" si="117"/>
        <v>5</v>
      </c>
      <c r="AC38" s="82">
        <v>1</v>
      </c>
      <c r="AD38" s="80">
        <v>1</v>
      </c>
      <c r="AE38" s="80">
        <v>5</v>
      </c>
      <c r="AF38" s="82">
        <f t="shared" si="30"/>
        <v>5</v>
      </c>
      <c r="AG38" s="82">
        <f t="shared" si="105"/>
        <v>1</v>
      </c>
      <c r="AH38" s="82">
        <f t="shared" si="120"/>
        <v>2</v>
      </c>
      <c r="AI38" s="80">
        <f t="shared" si="32"/>
        <v>2</v>
      </c>
      <c r="AJ38" s="80">
        <f t="shared" si="33"/>
        <v>3.5</v>
      </c>
      <c r="AK38" s="115">
        <f t="shared" si="34"/>
        <v>4</v>
      </c>
      <c r="AL38" s="82">
        <f t="shared" si="35"/>
        <v>8</v>
      </c>
      <c r="AM38" s="82">
        <f t="shared" si="106"/>
        <v>5</v>
      </c>
      <c r="AN38" s="82">
        <f t="shared" si="107"/>
        <v>2</v>
      </c>
      <c r="AO38" s="82">
        <f t="shared" si="38"/>
        <v>9600</v>
      </c>
      <c r="AP38" s="82">
        <v>1.2</v>
      </c>
      <c r="AQ38" s="82">
        <v>0.1</v>
      </c>
      <c r="AR38" s="82">
        <f t="shared" si="39"/>
        <v>0.05</v>
      </c>
      <c r="AS38" s="82">
        <f t="shared" si="40"/>
        <v>0.05</v>
      </c>
      <c r="AT38" s="82">
        <f t="shared" si="41"/>
        <v>0.1</v>
      </c>
      <c r="AU38" s="82">
        <f t="shared" si="42"/>
        <v>1.2</v>
      </c>
      <c r="AV38" s="82">
        <f t="shared" si="43"/>
        <v>0.1</v>
      </c>
      <c r="AW38" s="82">
        <f t="shared" si="44"/>
        <v>0.2</v>
      </c>
      <c r="AX38" s="82">
        <f t="shared" si="45"/>
        <v>0.2</v>
      </c>
      <c r="AY38" s="82">
        <f t="shared" si="45"/>
        <v>0.2</v>
      </c>
      <c r="AZ38" s="82">
        <f t="shared" si="46"/>
        <v>0.5</v>
      </c>
      <c r="BA38" s="82">
        <f t="shared" si="47"/>
        <v>4800</v>
      </c>
      <c r="BB38" s="82">
        <f t="shared" si="48"/>
        <v>4800</v>
      </c>
      <c r="BC38" s="82">
        <f t="shared" si="49"/>
        <v>4800</v>
      </c>
      <c r="BD38" s="115">
        <f t="shared" si="50"/>
        <v>4800</v>
      </c>
      <c r="BE38" s="115">
        <f t="shared" si="51"/>
        <v>4800</v>
      </c>
      <c r="BF38" s="115">
        <f t="shared" si="52"/>
        <v>4800</v>
      </c>
      <c r="BG38" s="115">
        <f t="shared" si="115"/>
        <v>60</v>
      </c>
      <c r="BH38" s="115">
        <f t="shared" si="108"/>
        <v>60</v>
      </c>
      <c r="BI38" s="115">
        <f t="shared" si="119"/>
        <v>69</v>
      </c>
      <c r="BJ38" s="115">
        <f t="shared" si="109"/>
        <v>69</v>
      </c>
      <c r="BK38" s="115">
        <f t="shared" si="110"/>
        <v>69</v>
      </c>
      <c r="BL38" s="115">
        <f t="shared" si="111"/>
        <v>69</v>
      </c>
      <c r="BM38" s="115">
        <f t="shared" si="8"/>
        <v>8</v>
      </c>
      <c r="BN38" s="115">
        <f t="shared" si="121"/>
        <v>5</v>
      </c>
      <c r="BO38" s="115">
        <f t="shared" si="57"/>
        <v>7200</v>
      </c>
      <c r="BP38" s="115">
        <f t="shared" si="122"/>
        <v>36000</v>
      </c>
      <c r="BQ38" s="115">
        <f t="shared" si="9"/>
        <v>60</v>
      </c>
      <c r="BR38" s="116">
        <f t="shared" si="10"/>
        <v>419</v>
      </c>
      <c r="BS38" s="116">
        <f t="shared" si="11"/>
        <v>160</v>
      </c>
    </row>
    <row r="39" spans="2:71" x14ac:dyDescent="0.25">
      <c r="B39" s="80">
        <f t="shared" si="59"/>
        <v>35</v>
      </c>
      <c r="C39" s="81" t="s">
        <v>147</v>
      </c>
      <c r="D39" s="87">
        <v>5387</v>
      </c>
      <c r="E39" s="87">
        <f t="shared" si="95"/>
        <v>1000</v>
      </c>
      <c r="F39" s="82">
        <f t="shared" si="96"/>
        <v>10</v>
      </c>
      <c r="G39" s="80">
        <f t="shared" si="97"/>
        <v>100</v>
      </c>
      <c r="H39" s="83">
        <f t="shared" si="98"/>
        <v>9</v>
      </c>
      <c r="I39" s="84">
        <f t="shared" si="99"/>
        <v>200</v>
      </c>
      <c r="J39" s="114">
        <f t="shared" si="15"/>
        <v>2</v>
      </c>
      <c r="K39" s="114">
        <f t="shared" si="16"/>
        <v>2</v>
      </c>
      <c r="L39" s="114">
        <f t="shared" si="100"/>
        <v>2</v>
      </c>
      <c r="M39" s="114">
        <f t="shared" si="17"/>
        <v>3</v>
      </c>
      <c r="N39" s="114">
        <f t="shared" si="101"/>
        <v>2</v>
      </c>
      <c r="O39" s="114">
        <f t="shared" si="102"/>
        <v>2</v>
      </c>
      <c r="P39" s="114">
        <f t="shared" si="103"/>
        <v>1</v>
      </c>
      <c r="Q39" s="115">
        <f t="shared" si="20"/>
        <v>15</v>
      </c>
      <c r="R39" s="82">
        <f>(Q39*1.2)+3</f>
        <v>21</v>
      </c>
      <c r="S39" s="116">
        <f t="shared" si="22"/>
        <v>10</v>
      </c>
      <c r="T39" s="80">
        <f t="shared" si="104"/>
        <v>3.75</v>
      </c>
      <c r="U39" s="80">
        <f t="shared" si="83"/>
        <v>3.5</v>
      </c>
      <c r="V39" s="82">
        <f t="shared" si="84"/>
        <v>10.5</v>
      </c>
      <c r="W39" s="82">
        <f t="shared" si="114"/>
        <v>10.5</v>
      </c>
      <c r="X39" s="80">
        <f t="shared" si="25"/>
        <v>4.5</v>
      </c>
      <c r="Y39" s="80">
        <f t="shared" si="26"/>
        <v>2.7</v>
      </c>
      <c r="Z39" s="80">
        <f t="shared" si="27"/>
        <v>2</v>
      </c>
      <c r="AA39" s="80">
        <f t="shared" si="28"/>
        <v>6</v>
      </c>
      <c r="AB39" s="80">
        <f t="shared" si="117"/>
        <v>3.75</v>
      </c>
      <c r="AC39" s="82">
        <v>1</v>
      </c>
      <c r="AD39" s="80">
        <v>1</v>
      </c>
      <c r="AE39" s="80">
        <v>5.2</v>
      </c>
      <c r="AF39" s="82">
        <f t="shared" si="30"/>
        <v>5.2</v>
      </c>
      <c r="AG39" s="82">
        <f t="shared" si="105"/>
        <v>1</v>
      </c>
      <c r="AH39" s="82">
        <f t="shared" si="120"/>
        <v>2</v>
      </c>
      <c r="AI39" s="80">
        <f t="shared" si="32"/>
        <v>2</v>
      </c>
      <c r="AJ39" s="80">
        <f t="shared" si="33"/>
        <v>3.5</v>
      </c>
      <c r="AK39" s="115">
        <f t="shared" si="34"/>
        <v>2</v>
      </c>
      <c r="AL39" s="82">
        <f t="shared" si="35"/>
        <v>6</v>
      </c>
      <c r="AM39" s="82">
        <f t="shared" si="106"/>
        <v>5.2</v>
      </c>
      <c r="AN39" s="82">
        <f t="shared" si="107"/>
        <v>2</v>
      </c>
      <c r="AO39" s="82">
        <f t="shared" si="38"/>
        <v>5600</v>
      </c>
      <c r="AP39" s="82">
        <v>1.2</v>
      </c>
      <c r="AQ39" s="82">
        <v>0.1</v>
      </c>
      <c r="AR39" s="82">
        <f t="shared" si="39"/>
        <v>0.05</v>
      </c>
      <c r="AS39" s="82">
        <f t="shared" si="40"/>
        <v>0.05</v>
      </c>
      <c r="AT39" s="82">
        <f t="shared" si="41"/>
        <v>0.1</v>
      </c>
      <c r="AU39" s="82">
        <f t="shared" si="42"/>
        <v>1.2</v>
      </c>
      <c r="AV39" s="82">
        <f t="shared" si="43"/>
        <v>0.1</v>
      </c>
      <c r="AW39" s="82">
        <f t="shared" si="44"/>
        <v>0.2</v>
      </c>
      <c r="AX39" s="82">
        <f t="shared" si="45"/>
        <v>0.2</v>
      </c>
      <c r="AY39" s="82">
        <f t="shared" si="45"/>
        <v>0.2</v>
      </c>
      <c r="AZ39" s="82">
        <f t="shared" si="46"/>
        <v>0.5</v>
      </c>
      <c r="BA39" s="82">
        <f t="shared" si="47"/>
        <v>2800</v>
      </c>
      <c r="BB39" s="82">
        <f t="shared" si="48"/>
        <v>2800</v>
      </c>
      <c r="BC39" s="82">
        <f t="shared" si="49"/>
        <v>2800</v>
      </c>
      <c r="BD39" s="115">
        <f t="shared" si="50"/>
        <v>2800</v>
      </c>
      <c r="BE39" s="115">
        <f t="shared" si="51"/>
        <v>2800</v>
      </c>
      <c r="BF39" s="115">
        <f t="shared" si="52"/>
        <v>2800</v>
      </c>
      <c r="BG39" s="115">
        <f t="shared" si="115"/>
        <v>35</v>
      </c>
      <c r="BH39" s="115">
        <f t="shared" si="108"/>
        <v>35</v>
      </c>
      <c r="BI39" s="115">
        <f t="shared" si="119"/>
        <v>40</v>
      </c>
      <c r="BJ39" s="115">
        <f t="shared" si="109"/>
        <v>40</v>
      </c>
      <c r="BK39" s="115">
        <f t="shared" si="110"/>
        <v>40</v>
      </c>
      <c r="BL39" s="115">
        <f t="shared" si="111"/>
        <v>40</v>
      </c>
      <c r="BM39" s="115">
        <f t="shared" si="8"/>
        <v>3</v>
      </c>
      <c r="BN39" s="115">
        <f t="shared" si="121"/>
        <v>2</v>
      </c>
      <c r="BO39" s="115">
        <v>7200</v>
      </c>
      <c r="BP39" s="115">
        <f t="shared" si="122"/>
        <v>36000</v>
      </c>
      <c r="BQ39" s="115">
        <f t="shared" si="9"/>
        <v>35</v>
      </c>
      <c r="BR39" s="116">
        <f t="shared" si="10"/>
        <v>180</v>
      </c>
      <c r="BS39" s="116">
        <f t="shared" si="11"/>
        <v>120</v>
      </c>
    </row>
    <row r="40" spans="2:71" x14ac:dyDescent="0.25">
      <c r="B40" s="80">
        <f t="shared" si="59"/>
        <v>36</v>
      </c>
      <c r="C40" s="81" t="s">
        <v>219</v>
      </c>
      <c r="D40" s="87">
        <v>6944</v>
      </c>
      <c r="E40" s="87">
        <f t="shared" si="95"/>
        <v>1000</v>
      </c>
      <c r="F40" s="82">
        <f t="shared" si="96"/>
        <v>10</v>
      </c>
      <c r="G40" s="80">
        <f t="shared" si="97"/>
        <v>100</v>
      </c>
      <c r="H40" s="83">
        <f t="shared" si="98"/>
        <v>12</v>
      </c>
      <c r="I40" s="84">
        <f t="shared" si="99"/>
        <v>200</v>
      </c>
      <c r="J40" s="114">
        <f t="shared" si="15"/>
        <v>2</v>
      </c>
      <c r="K40" s="114">
        <f t="shared" si="16"/>
        <v>2</v>
      </c>
      <c r="L40" s="114">
        <f t="shared" si="100"/>
        <v>2</v>
      </c>
      <c r="M40" s="114">
        <f t="shared" si="17"/>
        <v>3</v>
      </c>
      <c r="N40" s="114">
        <f t="shared" si="101"/>
        <v>2</v>
      </c>
      <c r="O40" s="114">
        <f t="shared" si="102"/>
        <v>2</v>
      </c>
      <c r="P40" s="114">
        <f t="shared" si="103"/>
        <v>1</v>
      </c>
      <c r="Q40" s="115">
        <f t="shared" si="20"/>
        <v>15</v>
      </c>
      <c r="R40" s="82">
        <f t="shared" si="118"/>
        <v>18</v>
      </c>
      <c r="S40" s="116">
        <f t="shared" si="22"/>
        <v>10</v>
      </c>
      <c r="T40" s="80">
        <f t="shared" si="104"/>
        <v>3.75</v>
      </c>
      <c r="U40" s="80">
        <f t="shared" si="83"/>
        <v>3.5</v>
      </c>
      <c r="V40" s="82">
        <f t="shared" si="84"/>
        <v>10.5</v>
      </c>
      <c r="W40" s="82">
        <f t="shared" si="114"/>
        <v>10.5</v>
      </c>
      <c r="X40" s="80">
        <f t="shared" si="25"/>
        <v>4.5</v>
      </c>
      <c r="Y40" s="80">
        <f t="shared" si="26"/>
        <v>2.7</v>
      </c>
      <c r="Z40" s="80">
        <f t="shared" si="27"/>
        <v>2</v>
      </c>
      <c r="AA40" s="80">
        <f t="shared" si="28"/>
        <v>6</v>
      </c>
      <c r="AB40" s="80">
        <f t="shared" si="117"/>
        <v>3.75</v>
      </c>
      <c r="AC40" s="82">
        <v>1</v>
      </c>
      <c r="AD40" s="80">
        <v>1</v>
      </c>
      <c r="AE40" s="80">
        <f t="shared" si="116"/>
        <v>5.4</v>
      </c>
      <c r="AF40" s="82">
        <f t="shared" si="30"/>
        <v>5.4</v>
      </c>
      <c r="AG40" s="82">
        <f t="shared" si="105"/>
        <v>1</v>
      </c>
      <c r="AH40" s="82">
        <f t="shared" si="120"/>
        <v>2</v>
      </c>
      <c r="AI40" s="80">
        <f t="shared" si="32"/>
        <v>2</v>
      </c>
      <c r="AJ40" s="80">
        <f t="shared" si="33"/>
        <v>3.5</v>
      </c>
      <c r="AK40" s="115">
        <f t="shared" si="34"/>
        <v>2</v>
      </c>
      <c r="AL40" s="82">
        <f t="shared" si="35"/>
        <v>6</v>
      </c>
      <c r="AM40" s="82">
        <f t="shared" si="106"/>
        <v>5.4</v>
      </c>
      <c r="AN40" s="82">
        <f t="shared" si="107"/>
        <v>2</v>
      </c>
      <c r="AO40" s="82">
        <f t="shared" si="38"/>
        <v>5600</v>
      </c>
      <c r="AP40" s="82">
        <v>1.2</v>
      </c>
      <c r="AQ40" s="82">
        <v>0.1</v>
      </c>
      <c r="AR40" s="82">
        <f t="shared" si="39"/>
        <v>0.05</v>
      </c>
      <c r="AS40" s="82">
        <f t="shared" si="40"/>
        <v>0.05</v>
      </c>
      <c r="AT40" s="82">
        <f t="shared" si="41"/>
        <v>0.1</v>
      </c>
      <c r="AU40" s="82">
        <f t="shared" si="42"/>
        <v>1.2</v>
      </c>
      <c r="AV40" s="82">
        <f t="shared" si="43"/>
        <v>0.1</v>
      </c>
      <c r="AW40" s="82">
        <f t="shared" si="44"/>
        <v>0.2</v>
      </c>
      <c r="AX40" s="82">
        <v>0</v>
      </c>
      <c r="AY40" s="82">
        <f t="shared" ref="AY40:AY48" si="123">AX40</f>
        <v>0</v>
      </c>
      <c r="AZ40" s="82">
        <f t="shared" si="46"/>
        <v>0.5</v>
      </c>
      <c r="BA40" s="82">
        <f t="shared" si="47"/>
        <v>2800</v>
      </c>
      <c r="BB40" s="82">
        <f t="shared" si="48"/>
        <v>2800</v>
      </c>
      <c r="BC40" s="82">
        <f t="shared" si="49"/>
        <v>2800</v>
      </c>
      <c r="BD40" s="115">
        <f t="shared" si="50"/>
        <v>2800</v>
      </c>
      <c r="BE40" s="115">
        <f t="shared" si="51"/>
        <v>2800</v>
      </c>
      <c r="BF40" s="115">
        <f t="shared" si="52"/>
        <v>2800</v>
      </c>
      <c r="BG40" s="115">
        <f t="shared" si="115"/>
        <v>35</v>
      </c>
      <c r="BH40" s="115">
        <f t="shared" si="108"/>
        <v>35</v>
      </c>
      <c r="BI40" s="115">
        <f t="shared" si="119"/>
        <v>40</v>
      </c>
      <c r="BJ40" s="115">
        <f t="shared" si="109"/>
        <v>40</v>
      </c>
      <c r="BK40" s="115">
        <f t="shared" si="110"/>
        <v>40</v>
      </c>
      <c r="BL40" s="115">
        <f t="shared" si="111"/>
        <v>40</v>
      </c>
      <c r="BM40" s="115">
        <f t="shared" si="8"/>
        <v>3</v>
      </c>
      <c r="BN40" s="115">
        <f t="shared" si="121"/>
        <v>2</v>
      </c>
      <c r="BO40" s="115">
        <v>7200</v>
      </c>
      <c r="BP40" s="115">
        <f t="shared" si="122"/>
        <v>36000</v>
      </c>
      <c r="BQ40" s="115">
        <f t="shared" si="9"/>
        <v>35</v>
      </c>
      <c r="BR40" s="116">
        <f t="shared" si="10"/>
        <v>231</v>
      </c>
      <c r="BS40" s="116">
        <f t="shared" si="11"/>
        <v>120</v>
      </c>
    </row>
    <row r="41" spans="2:71" x14ac:dyDescent="0.25">
      <c r="B41" s="80">
        <f t="shared" si="59"/>
        <v>37</v>
      </c>
      <c r="C41" s="81" t="s">
        <v>148</v>
      </c>
      <c r="D41" s="87">
        <v>7706</v>
      </c>
      <c r="E41" s="87">
        <f t="shared" si="95"/>
        <v>1000</v>
      </c>
      <c r="F41" s="82">
        <f t="shared" si="96"/>
        <v>10</v>
      </c>
      <c r="G41" s="80">
        <f t="shared" si="97"/>
        <v>100</v>
      </c>
      <c r="H41" s="83">
        <f t="shared" si="98"/>
        <v>13</v>
      </c>
      <c r="I41" s="84">
        <f t="shared" si="99"/>
        <v>200</v>
      </c>
      <c r="J41" s="114">
        <f t="shared" si="15"/>
        <v>2</v>
      </c>
      <c r="K41" s="114">
        <f t="shared" si="16"/>
        <v>2</v>
      </c>
      <c r="L41" s="114">
        <f t="shared" si="100"/>
        <v>2</v>
      </c>
      <c r="M41" s="114">
        <f t="shared" si="17"/>
        <v>3</v>
      </c>
      <c r="N41" s="114">
        <f t="shared" si="101"/>
        <v>2</v>
      </c>
      <c r="O41" s="114">
        <f t="shared" si="102"/>
        <v>2</v>
      </c>
      <c r="P41" s="114">
        <f>(O41/2)+1</f>
        <v>2</v>
      </c>
      <c r="Q41" s="115">
        <f t="shared" si="20"/>
        <v>15</v>
      </c>
      <c r="R41" s="82">
        <f t="shared" si="118"/>
        <v>18</v>
      </c>
      <c r="S41" s="116">
        <f t="shared" si="22"/>
        <v>10</v>
      </c>
      <c r="T41" s="80">
        <f t="shared" si="104"/>
        <v>3.75</v>
      </c>
      <c r="U41" s="80">
        <f t="shared" si="83"/>
        <v>3.5</v>
      </c>
      <c r="V41" s="82">
        <f t="shared" si="84"/>
        <v>10.5</v>
      </c>
      <c r="W41" s="82">
        <f t="shared" si="114"/>
        <v>10.5</v>
      </c>
      <c r="X41" s="80">
        <f t="shared" si="25"/>
        <v>4.5</v>
      </c>
      <c r="Y41" s="80">
        <f t="shared" si="26"/>
        <v>2.7</v>
      </c>
      <c r="Z41" s="80">
        <f t="shared" si="27"/>
        <v>2</v>
      </c>
      <c r="AA41" s="80">
        <f t="shared" si="28"/>
        <v>6</v>
      </c>
      <c r="AB41" s="80">
        <f t="shared" si="117"/>
        <v>3.75</v>
      </c>
      <c r="AC41" s="82">
        <v>1</v>
      </c>
      <c r="AD41" s="80">
        <v>1</v>
      </c>
      <c r="AE41" s="80">
        <f t="shared" si="116"/>
        <v>5.4</v>
      </c>
      <c r="AF41" s="82">
        <f t="shared" si="30"/>
        <v>5.4</v>
      </c>
      <c r="AG41" s="82">
        <f t="shared" si="105"/>
        <v>1</v>
      </c>
      <c r="AH41" s="82">
        <f t="shared" si="120"/>
        <v>2</v>
      </c>
      <c r="AI41" s="80">
        <f t="shared" si="32"/>
        <v>2</v>
      </c>
      <c r="AJ41" s="80">
        <f t="shared" si="33"/>
        <v>3.5</v>
      </c>
      <c r="AK41" s="115">
        <f t="shared" si="34"/>
        <v>2</v>
      </c>
      <c r="AL41" s="82">
        <f t="shared" si="35"/>
        <v>6</v>
      </c>
      <c r="AM41" s="82">
        <f t="shared" si="106"/>
        <v>5.4</v>
      </c>
      <c r="AN41" s="82">
        <f t="shared" si="107"/>
        <v>2</v>
      </c>
      <c r="AO41" s="82">
        <f t="shared" si="38"/>
        <v>5600</v>
      </c>
      <c r="AP41" s="82">
        <f t="shared" si="61"/>
        <v>1.1000000000000001</v>
      </c>
      <c r="AQ41" s="82">
        <v>0.1</v>
      </c>
      <c r="AR41" s="82">
        <f t="shared" si="39"/>
        <v>0.05</v>
      </c>
      <c r="AS41" s="82">
        <f t="shared" si="40"/>
        <v>0.05</v>
      </c>
      <c r="AT41" s="82">
        <f t="shared" si="41"/>
        <v>0.1</v>
      </c>
      <c r="AU41" s="82">
        <f t="shared" si="42"/>
        <v>1.1000000000000001</v>
      </c>
      <c r="AV41" s="82">
        <f t="shared" si="43"/>
        <v>0.1</v>
      </c>
      <c r="AW41" s="82">
        <f t="shared" si="44"/>
        <v>0.2</v>
      </c>
      <c r="AX41" s="82">
        <v>0</v>
      </c>
      <c r="AY41" s="82">
        <f t="shared" si="123"/>
        <v>0</v>
      </c>
      <c r="AZ41" s="82">
        <f t="shared" si="46"/>
        <v>0.5</v>
      </c>
      <c r="BA41" s="82">
        <f t="shared" si="47"/>
        <v>2800</v>
      </c>
      <c r="BB41" s="82">
        <f t="shared" si="48"/>
        <v>2800</v>
      </c>
      <c r="BC41" s="82">
        <f t="shared" si="49"/>
        <v>2800</v>
      </c>
      <c r="BD41" s="115">
        <f t="shared" si="50"/>
        <v>2800</v>
      </c>
      <c r="BE41" s="115">
        <f t="shared" si="51"/>
        <v>2800</v>
      </c>
      <c r="BF41" s="115">
        <f t="shared" si="52"/>
        <v>2800</v>
      </c>
      <c r="BG41" s="115">
        <f t="shared" si="115"/>
        <v>35</v>
      </c>
      <c r="BH41" s="115">
        <f t="shared" si="108"/>
        <v>35</v>
      </c>
      <c r="BI41" s="115">
        <f t="shared" si="119"/>
        <v>40</v>
      </c>
      <c r="BJ41" s="115">
        <f t="shared" si="109"/>
        <v>40</v>
      </c>
      <c r="BK41" s="115">
        <f t="shared" si="110"/>
        <v>40</v>
      </c>
      <c r="BL41" s="115">
        <f t="shared" si="111"/>
        <v>40</v>
      </c>
      <c r="BM41" s="115">
        <f t="shared" si="8"/>
        <v>3</v>
      </c>
      <c r="BN41" s="115">
        <f t="shared" si="121"/>
        <v>2</v>
      </c>
      <c r="BO41" s="174">
        <v>7200</v>
      </c>
      <c r="BP41" s="115">
        <f t="shared" si="122"/>
        <v>36000</v>
      </c>
      <c r="BQ41" s="115">
        <f t="shared" si="9"/>
        <v>35</v>
      </c>
      <c r="BR41" s="116">
        <f t="shared" si="10"/>
        <v>257</v>
      </c>
      <c r="BS41" s="116">
        <f t="shared" si="11"/>
        <v>120</v>
      </c>
    </row>
    <row r="42" spans="2:71" x14ac:dyDescent="0.25">
      <c r="B42" s="80">
        <f t="shared" si="59"/>
        <v>38</v>
      </c>
      <c r="C42" s="81" t="s">
        <v>149</v>
      </c>
      <c r="D42" s="87">
        <v>2606</v>
      </c>
      <c r="E42" s="87">
        <f t="shared" si="95"/>
        <v>1000</v>
      </c>
      <c r="F42" s="82">
        <f t="shared" si="96"/>
        <v>10</v>
      </c>
      <c r="G42" s="80">
        <f t="shared" si="97"/>
        <v>100</v>
      </c>
      <c r="H42" s="83">
        <f t="shared" si="98"/>
        <v>4</v>
      </c>
      <c r="I42" s="84">
        <f t="shared" si="99"/>
        <v>200</v>
      </c>
      <c r="J42" s="114">
        <f t="shared" si="15"/>
        <v>2</v>
      </c>
      <c r="K42" s="114">
        <f t="shared" si="16"/>
        <v>2</v>
      </c>
      <c r="L42" s="114">
        <f t="shared" si="100"/>
        <v>2</v>
      </c>
      <c r="M42" s="114">
        <f t="shared" si="17"/>
        <v>3</v>
      </c>
      <c r="N42" s="114">
        <f t="shared" si="101"/>
        <v>2</v>
      </c>
      <c r="O42" s="114">
        <f t="shared" si="102"/>
        <v>2</v>
      </c>
      <c r="P42" s="114">
        <f t="shared" si="103"/>
        <v>1</v>
      </c>
      <c r="Q42" s="115">
        <f t="shared" si="20"/>
        <v>15</v>
      </c>
      <c r="R42" s="82">
        <f t="shared" si="118"/>
        <v>18</v>
      </c>
      <c r="S42" s="116">
        <f t="shared" si="22"/>
        <v>10</v>
      </c>
      <c r="T42" s="80">
        <f t="shared" si="104"/>
        <v>3.75</v>
      </c>
      <c r="U42" s="80">
        <f t="shared" si="83"/>
        <v>3.5</v>
      </c>
      <c r="V42" s="82">
        <f t="shared" si="84"/>
        <v>10.5</v>
      </c>
      <c r="W42" s="82">
        <f t="shared" si="114"/>
        <v>10.5</v>
      </c>
      <c r="X42" s="80">
        <f t="shared" si="25"/>
        <v>4.5</v>
      </c>
      <c r="Y42" s="80">
        <f t="shared" si="26"/>
        <v>2.7</v>
      </c>
      <c r="Z42" s="80">
        <f t="shared" si="27"/>
        <v>2</v>
      </c>
      <c r="AA42" s="80">
        <f t="shared" si="28"/>
        <v>6</v>
      </c>
      <c r="AB42" s="80">
        <f t="shared" si="117"/>
        <v>3.75</v>
      </c>
      <c r="AC42" s="82">
        <v>1</v>
      </c>
      <c r="AD42" s="80">
        <v>1</v>
      </c>
      <c r="AE42" s="80">
        <f t="shared" si="116"/>
        <v>5.4</v>
      </c>
      <c r="AF42" s="82">
        <f t="shared" si="30"/>
        <v>5.4</v>
      </c>
      <c r="AG42" s="82">
        <f t="shared" si="105"/>
        <v>1</v>
      </c>
      <c r="AH42" s="82">
        <f t="shared" si="120"/>
        <v>2</v>
      </c>
      <c r="AI42" s="80">
        <f t="shared" si="32"/>
        <v>2</v>
      </c>
      <c r="AJ42" s="80">
        <f t="shared" si="33"/>
        <v>3.5</v>
      </c>
      <c r="AK42" s="115">
        <f t="shared" si="34"/>
        <v>2</v>
      </c>
      <c r="AL42" s="82">
        <f t="shared" si="35"/>
        <v>6</v>
      </c>
      <c r="AM42" s="82">
        <f t="shared" si="106"/>
        <v>5.4</v>
      </c>
      <c r="AN42" s="82">
        <f t="shared" si="107"/>
        <v>2</v>
      </c>
      <c r="AO42" s="82">
        <f t="shared" si="38"/>
        <v>5600</v>
      </c>
      <c r="AP42" s="82">
        <v>1.2</v>
      </c>
      <c r="AQ42" s="82">
        <v>0.1</v>
      </c>
      <c r="AR42" s="82">
        <f t="shared" si="39"/>
        <v>0.05</v>
      </c>
      <c r="AS42" s="82">
        <f t="shared" si="40"/>
        <v>0.05</v>
      </c>
      <c r="AT42" s="82">
        <f t="shared" si="41"/>
        <v>0.1</v>
      </c>
      <c r="AU42" s="82">
        <f t="shared" si="42"/>
        <v>1.2</v>
      </c>
      <c r="AV42" s="82">
        <f t="shared" si="43"/>
        <v>0.1</v>
      </c>
      <c r="AW42" s="82">
        <f t="shared" si="44"/>
        <v>0.2</v>
      </c>
      <c r="AX42" s="82">
        <v>0</v>
      </c>
      <c r="AY42" s="82">
        <f t="shared" si="123"/>
        <v>0</v>
      </c>
      <c r="AZ42" s="82">
        <f t="shared" si="46"/>
        <v>0.5</v>
      </c>
      <c r="BA42" s="82">
        <f t="shared" si="47"/>
        <v>2800</v>
      </c>
      <c r="BB42" s="82">
        <f t="shared" si="48"/>
        <v>2800</v>
      </c>
      <c r="BC42" s="82">
        <f t="shared" si="49"/>
        <v>2800</v>
      </c>
      <c r="BD42" s="115">
        <f t="shared" si="50"/>
        <v>2800</v>
      </c>
      <c r="BE42" s="115">
        <f t="shared" si="51"/>
        <v>2800</v>
      </c>
      <c r="BF42" s="115">
        <f t="shared" si="52"/>
        <v>2800</v>
      </c>
      <c r="BG42" s="115">
        <f t="shared" si="115"/>
        <v>35</v>
      </c>
      <c r="BH42" s="115">
        <f t="shared" ref="BH42:BH48" si="124">BG42</f>
        <v>35</v>
      </c>
      <c r="BI42" s="115">
        <f t="shared" si="119"/>
        <v>40</v>
      </c>
      <c r="BJ42" s="115">
        <f t="shared" ref="BJ42:BJ48" si="125">BI42</f>
        <v>40</v>
      </c>
      <c r="BK42" s="115">
        <f t="shared" ref="BK42:BK48" si="126">BJ42</f>
        <v>40</v>
      </c>
      <c r="BL42" s="115">
        <f t="shared" ref="BL42:BL48" si="127">BK42</f>
        <v>40</v>
      </c>
      <c r="BM42" s="115">
        <f t="shared" si="8"/>
        <v>3</v>
      </c>
      <c r="BN42" s="115">
        <f t="shared" si="121"/>
        <v>2</v>
      </c>
      <c r="BO42" s="115">
        <v>7200</v>
      </c>
      <c r="BP42" s="115">
        <f t="shared" si="122"/>
        <v>36000</v>
      </c>
      <c r="BQ42" s="115">
        <f t="shared" si="9"/>
        <v>35</v>
      </c>
      <c r="BR42" s="116">
        <f t="shared" si="10"/>
        <v>87</v>
      </c>
      <c r="BS42" s="116">
        <f t="shared" si="11"/>
        <v>120</v>
      </c>
    </row>
    <row r="43" spans="2:71" x14ac:dyDescent="0.25">
      <c r="B43" s="80">
        <f t="shared" si="59"/>
        <v>39</v>
      </c>
      <c r="C43" s="81" t="str">
        <f>[7]Planilha1!C44</f>
        <v>Sericita</v>
      </c>
      <c r="D43" s="87">
        <f>[7]Planilha1!D44</f>
        <v>7326</v>
      </c>
      <c r="E43" s="87">
        <f t="shared" si="95"/>
        <v>1000</v>
      </c>
      <c r="F43" s="82">
        <f t="shared" si="96"/>
        <v>10</v>
      </c>
      <c r="G43" s="80">
        <f t="shared" si="97"/>
        <v>100</v>
      </c>
      <c r="H43" s="83">
        <f t="shared" si="98"/>
        <v>12</v>
      </c>
      <c r="I43" s="84">
        <f t="shared" si="99"/>
        <v>200</v>
      </c>
      <c r="J43" s="114">
        <f t="shared" si="15"/>
        <v>2</v>
      </c>
      <c r="K43" s="114">
        <f t="shared" si="16"/>
        <v>2</v>
      </c>
      <c r="L43" s="114">
        <f t="shared" si="100"/>
        <v>2</v>
      </c>
      <c r="M43" s="114">
        <f t="shared" si="17"/>
        <v>3</v>
      </c>
      <c r="N43" s="114">
        <f t="shared" si="101"/>
        <v>2</v>
      </c>
      <c r="O43" s="114">
        <f t="shared" si="102"/>
        <v>2</v>
      </c>
      <c r="P43" s="114">
        <f>(O43/2)+1</f>
        <v>2</v>
      </c>
      <c r="Q43" s="115">
        <f t="shared" si="20"/>
        <v>15</v>
      </c>
      <c r="R43" s="82">
        <f t="shared" si="118"/>
        <v>18</v>
      </c>
      <c r="S43" s="116">
        <f t="shared" si="22"/>
        <v>10</v>
      </c>
      <c r="T43" s="80">
        <f t="shared" si="104"/>
        <v>3.75</v>
      </c>
      <c r="U43" s="80">
        <f t="shared" si="83"/>
        <v>3.5</v>
      </c>
      <c r="V43" s="82">
        <f t="shared" si="84"/>
        <v>10.5</v>
      </c>
      <c r="W43" s="82">
        <f t="shared" si="114"/>
        <v>10.5</v>
      </c>
      <c r="X43" s="80">
        <f t="shared" si="25"/>
        <v>4.5</v>
      </c>
      <c r="Y43" s="80">
        <f t="shared" si="26"/>
        <v>2.7</v>
      </c>
      <c r="Z43" s="80">
        <f t="shared" si="27"/>
        <v>2</v>
      </c>
      <c r="AA43" s="80">
        <f t="shared" si="28"/>
        <v>6</v>
      </c>
      <c r="AB43" s="80">
        <f t="shared" si="117"/>
        <v>3.75</v>
      </c>
      <c r="AC43" s="82">
        <v>1</v>
      </c>
      <c r="AD43" s="80">
        <v>1.35</v>
      </c>
      <c r="AE43" s="80">
        <f t="shared" si="116"/>
        <v>5.4</v>
      </c>
      <c r="AF43" s="82">
        <f t="shared" si="30"/>
        <v>5.4</v>
      </c>
      <c r="AG43" s="82">
        <f t="shared" si="105"/>
        <v>1.35</v>
      </c>
      <c r="AH43" s="82">
        <v>2.9</v>
      </c>
      <c r="AI43" s="80">
        <f t="shared" si="32"/>
        <v>2.9</v>
      </c>
      <c r="AJ43" s="80">
        <f t="shared" si="33"/>
        <v>3.5</v>
      </c>
      <c r="AK43" s="115">
        <f t="shared" si="34"/>
        <v>2</v>
      </c>
      <c r="AL43" s="82">
        <f t="shared" si="35"/>
        <v>6</v>
      </c>
      <c r="AM43" s="82">
        <f t="shared" si="106"/>
        <v>5.4</v>
      </c>
      <c r="AN43" s="82">
        <f t="shared" si="107"/>
        <v>2.9</v>
      </c>
      <c r="AO43" s="82">
        <f t="shared" si="38"/>
        <v>5600</v>
      </c>
      <c r="AP43" s="82">
        <v>1.2</v>
      </c>
      <c r="AQ43" s="82">
        <v>0.1</v>
      </c>
      <c r="AR43" s="82">
        <f t="shared" si="39"/>
        <v>0.05</v>
      </c>
      <c r="AS43" s="82">
        <f t="shared" si="40"/>
        <v>0.05</v>
      </c>
      <c r="AT43" s="82">
        <f t="shared" si="41"/>
        <v>0.1</v>
      </c>
      <c r="AU43" s="82">
        <f t="shared" si="42"/>
        <v>1.2</v>
      </c>
      <c r="AV43" s="82">
        <f t="shared" si="43"/>
        <v>0.1</v>
      </c>
      <c r="AW43" s="82">
        <f t="shared" si="44"/>
        <v>0.2</v>
      </c>
      <c r="AX43" s="82">
        <v>0</v>
      </c>
      <c r="AY43" s="82">
        <f t="shared" si="123"/>
        <v>0</v>
      </c>
      <c r="AZ43" s="82">
        <f t="shared" si="46"/>
        <v>0.5</v>
      </c>
      <c r="BA43" s="82">
        <f t="shared" si="47"/>
        <v>2800</v>
      </c>
      <c r="BB43" s="82">
        <f t="shared" si="48"/>
        <v>2800</v>
      </c>
      <c r="BC43" s="82">
        <f t="shared" si="49"/>
        <v>2800</v>
      </c>
      <c r="BD43" s="115">
        <f t="shared" si="50"/>
        <v>2800</v>
      </c>
      <c r="BE43" s="115">
        <f t="shared" si="51"/>
        <v>2800</v>
      </c>
      <c r="BF43" s="115">
        <f t="shared" si="52"/>
        <v>2800</v>
      </c>
      <c r="BG43" s="115">
        <f t="shared" si="115"/>
        <v>35</v>
      </c>
      <c r="BH43" s="115">
        <f t="shared" si="124"/>
        <v>35</v>
      </c>
      <c r="BI43" s="115">
        <f t="shared" si="119"/>
        <v>40</v>
      </c>
      <c r="BJ43" s="115">
        <f t="shared" si="125"/>
        <v>40</v>
      </c>
      <c r="BK43" s="115">
        <f t="shared" si="126"/>
        <v>40</v>
      </c>
      <c r="BL43" s="115">
        <f t="shared" si="127"/>
        <v>40</v>
      </c>
      <c r="BM43" s="115">
        <f t="shared" si="8"/>
        <v>3</v>
      </c>
      <c r="BN43" s="115">
        <f t="shared" si="121"/>
        <v>2</v>
      </c>
      <c r="BO43" s="115">
        <v>7200</v>
      </c>
      <c r="BP43" s="115">
        <f t="shared" si="122"/>
        <v>36000</v>
      </c>
      <c r="BQ43" s="115">
        <f t="shared" si="9"/>
        <v>35</v>
      </c>
      <c r="BR43" s="116">
        <f t="shared" si="10"/>
        <v>244</v>
      </c>
      <c r="BS43" s="116">
        <f t="shared" si="11"/>
        <v>120</v>
      </c>
    </row>
    <row r="44" spans="2:71" x14ac:dyDescent="0.25">
      <c r="B44" s="80">
        <f t="shared" si="59"/>
        <v>40</v>
      </c>
      <c r="C44" s="81" t="s">
        <v>150</v>
      </c>
      <c r="D44" s="87">
        <v>11670</v>
      </c>
      <c r="E44" s="87">
        <f t="shared" si="95"/>
        <v>1000</v>
      </c>
      <c r="F44" s="82">
        <f t="shared" si="96"/>
        <v>10</v>
      </c>
      <c r="G44" s="80">
        <f t="shared" si="97"/>
        <v>100</v>
      </c>
      <c r="H44" s="83">
        <f t="shared" si="98"/>
        <v>19</v>
      </c>
      <c r="I44" s="84">
        <f t="shared" si="99"/>
        <v>400</v>
      </c>
      <c r="J44" s="114">
        <f t="shared" si="15"/>
        <v>5</v>
      </c>
      <c r="K44" s="114">
        <f t="shared" si="16"/>
        <v>4</v>
      </c>
      <c r="L44" s="114">
        <f t="shared" si="100"/>
        <v>5</v>
      </c>
      <c r="M44" s="114">
        <f t="shared" si="17"/>
        <v>6</v>
      </c>
      <c r="N44" s="114">
        <f>(M44/2)-1</f>
        <v>2</v>
      </c>
      <c r="O44" s="114">
        <f t="shared" si="102"/>
        <v>2</v>
      </c>
      <c r="P44" s="114">
        <f t="shared" si="103"/>
        <v>1</v>
      </c>
      <c r="Q44" s="115">
        <f t="shared" si="20"/>
        <v>25</v>
      </c>
      <c r="R44" s="82">
        <f t="shared" si="118"/>
        <v>30</v>
      </c>
      <c r="S44" s="116">
        <f t="shared" si="22"/>
        <v>20</v>
      </c>
      <c r="T44" s="80">
        <f t="shared" si="104"/>
        <v>6.25</v>
      </c>
      <c r="U44" s="80">
        <f t="shared" si="83"/>
        <v>3.5</v>
      </c>
      <c r="V44" s="82">
        <f t="shared" si="84"/>
        <v>10.5</v>
      </c>
      <c r="W44" s="82">
        <f t="shared" si="114"/>
        <v>10.5</v>
      </c>
      <c r="X44" s="80">
        <f t="shared" si="25"/>
        <v>4.5</v>
      </c>
      <c r="Y44" s="80">
        <f t="shared" si="26"/>
        <v>2.7</v>
      </c>
      <c r="Z44" s="80">
        <f t="shared" si="27"/>
        <v>2</v>
      </c>
      <c r="AA44" s="80">
        <f t="shared" si="28"/>
        <v>10</v>
      </c>
      <c r="AB44" s="80">
        <f t="shared" si="117"/>
        <v>6.25</v>
      </c>
      <c r="AC44" s="82">
        <v>1</v>
      </c>
      <c r="AD44" s="80">
        <f t="shared" si="29"/>
        <v>1.35</v>
      </c>
      <c r="AE44" s="80">
        <f t="shared" si="116"/>
        <v>5.4</v>
      </c>
      <c r="AF44" s="82">
        <f t="shared" si="30"/>
        <v>5.4</v>
      </c>
      <c r="AG44" s="82">
        <f t="shared" si="105"/>
        <v>1.35</v>
      </c>
      <c r="AH44" s="82">
        <f t="shared" si="120"/>
        <v>2.7</v>
      </c>
      <c r="AI44" s="80">
        <f t="shared" si="32"/>
        <v>2.7</v>
      </c>
      <c r="AJ44" s="80">
        <f t="shared" si="33"/>
        <v>3.5</v>
      </c>
      <c r="AK44" s="115">
        <f t="shared" si="34"/>
        <v>4</v>
      </c>
      <c r="AL44" s="82">
        <f t="shared" si="35"/>
        <v>10</v>
      </c>
      <c r="AM44" s="82">
        <f t="shared" si="106"/>
        <v>5.4</v>
      </c>
      <c r="AN44" s="82">
        <f t="shared" si="107"/>
        <v>2.7</v>
      </c>
      <c r="AO44" s="82">
        <f t="shared" si="38"/>
        <v>8000</v>
      </c>
      <c r="AP44" s="82">
        <v>1.2</v>
      </c>
      <c r="AQ44" s="82">
        <v>0.1</v>
      </c>
      <c r="AR44" s="82">
        <f t="shared" si="39"/>
        <v>0.05</v>
      </c>
      <c r="AS44" s="82">
        <f t="shared" si="40"/>
        <v>0.05</v>
      </c>
      <c r="AT44" s="82">
        <f t="shared" si="41"/>
        <v>0.1</v>
      </c>
      <c r="AU44" s="82">
        <f t="shared" si="42"/>
        <v>1.2</v>
      </c>
      <c r="AV44" s="82">
        <f t="shared" si="43"/>
        <v>0.1</v>
      </c>
      <c r="AW44" s="82">
        <f t="shared" si="44"/>
        <v>0.2</v>
      </c>
      <c r="AX44" s="82">
        <v>0</v>
      </c>
      <c r="AY44" s="82">
        <f t="shared" si="123"/>
        <v>0</v>
      </c>
      <c r="AZ44" s="82">
        <f t="shared" si="46"/>
        <v>0.5</v>
      </c>
      <c r="BA44" s="82">
        <f t="shared" si="47"/>
        <v>4000</v>
      </c>
      <c r="BB44" s="82">
        <f t="shared" si="48"/>
        <v>4000</v>
      </c>
      <c r="BC44" s="82">
        <f t="shared" si="49"/>
        <v>4000</v>
      </c>
      <c r="BD44" s="115">
        <f t="shared" si="50"/>
        <v>4000</v>
      </c>
      <c r="BE44" s="115">
        <f t="shared" si="51"/>
        <v>4000</v>
      </c>
      <c r="BF44" s="115">
        <f t="shared" si="52"/>
        <v>4000</v>
      </c>
      <c r="BG44" s="115">
        <f t="shared" si="115"/>
        <v>50</v>
      </c>
      <c r="BH44" s="115">
        <f t="shared" si="124"/>
        <v>50</v>
      </c>
      <c r="BI44" s="115">
        <f t="shared" si="119"/>
        <v>57</v>
      </c>
      <c r="BJ44" s="115">
        <f t="shared" si="125"/>
        <v>57</v>
      </c>
      <c r="BK44" s="115">
        <f t="shared" si="126"/>
        <v>57</v>
      </c>
      <c r="BL44" s="115">
        <f t="shared" si="127"/>
        <v>57</v>
      </c>
      <c r="BM44" s="115">
        <f t="shared" si="8"/>
        <v>8</v>
      </c>
      <c r="BN44" s="115">
        <f t="shared" si="121"/>
        <v>5</v>
      </c>
      <c r="BO44" s="174">
        <v>7200</v>
      </c>
      <c r="BP44" s="115">
        <f t="shared" si="122"/>
        <v>36000</v>
      </c>
      <c r="BQ44" s="115">
        <f t="shared" si="9"/>
        <v>50</v>
      </c>
      <c r="BR44" s="116">
        <f t="shared" si="10"/>
        <v>389</v>
      </c>
      <c r="BS44" s="116">
        <f t="shared" si="11"/>
        <v>200</v>
      </c>
    </row>
    <row r="45" spans="2:71" x14ac:dyDescent="0.25">
      <c r="B45" s="80">
        <f t="shared" si="59"/>
        <v>41</v>
      </c>
      <c r="C45" s="81" t="s">
        <v>151</v>
      </c>
      <c r="D45" s="87">
        <v>10345</v>
      </c>
      <c r="E45" s="87">
        <f t="shared" si="95"/>
        <v>1000</v>
      </c>
      <c r="F45" s="82">
        <f t="shared" si="96"/>
        <v>10</v>
      </c>
      <c r="G45" s="80">
        <f t="shared" si="97"/>
        <v>100</v>
      </c>
      <c r="H45" s="83">
        <f t="shared" si="98"/>
        <v>17</v>
      </c>
      <c r="I45" s="84">
        <f t="shared" si="99"/>
        <v>400</v>
      </c>
      <c r="J45" s="114">
        <f t="shared" si="15"/>
        <v>5</v>
      </c>
      <c r="K45" s="114">
        <f t="shared" si="16"/>
        <v>4</v>
      </c>
      <c r="L45" s="114">
        <f t="shared" si="100"/>
        <v>5</v>
      </c>
      <c r="M45" s="114">
        <f>J45*1.25/2</f>
        <v>3</v>
      </c>
      <c r="N45" s="114">
        <f t="shared" si="101"/>
        <v>2</v>
      </c>
      <c r="O45" s="114">
        <f t="shared" si="102"/>
        <v>2</v>
      </c>
      <c r="P45" s="114">
        <f t="shared" si="103"/>
        <v>1</v>
      </c>
      <c r="Q45" s="115">
        <f t="shared" si="20"/>
        <v>25</v>
      </c>
      <c r="R45" s="82">
        <f t="shared" si="118"/>
        <v>30</v>
      </c>
      <c r="S45" s="116">
        <f t="shared" si="22"/>
        <v>20</v>
      </c>
      <c r="T45" s="80">
        <f t="shared" si="104"/>
        <v>6.25</v>
      </c>
      <c r="U45" s="80">
        <f t="shared" si="83"/>
        <v>3.5</v>
      </c>
      <c r="V45" s="82">
        <f t="shared" si="84"/>
        <v>10.5</v>
      </c>
      <c r="W45" s="82">
        <f t="shared" si="114"/>
        <v>10.5</v>
      </c>
      <c r="X45" s="80">
        <f t="shared" si="25"/>
        <v>4.5</v>
      </c>
      <c r="Y45" s="80">
        <v>4</v>
      </c>
      <c r="Z45" s="80">
        <f t="shared" si="27"/>
        <v>2</v>
      </c>
      <c r="AA45" s="80">
        <f t="shared" si="28"/>
        <v>10</v>
      </c>
      <c r="AB45" s="80">
        <f t="shared" si="117"/>
        <v>6.25</v>
      </c>
      <c r="AC45" s="82">
        <v>1</v>
      </c>
      <c r="AD45" s="80">
        <f t="shared" si="29"/>
        <v>2</v>
      </c>
      <c r="AE45" s="80">
        <f t="shared" si="116"/>
        <v>8</v>
      </c>
      <c r="AF45" s="82">
        <f t="shared" si="30"/>
        <v>8</v>
      </c>
      <c r="AG45" s="82">
        <f t="shared" si="105"/>
        <v>2</v>
      </c>
      <c r="AH45" s="82">
        <f t="shared" si="120"/>
        <v>4</v>
      </c>
      <c r="AI45" s="80">
        <f t="shared" si="32"/>
        <v>4</v>
      </c>
      <c r="AJ45" s="80">
        <f t="shared" si="33"/>
        <v>3.5</v>
      </c>
      <c r="AK45" s="115">
        <f t="shared" si="34"/>
        <v>4</v>
      </c>
      <c r="AL45" s="82">
        <f t="shared" si="35"/>
        <v>10</v>
      </c>
      <c r="AM45" s="82">
        <f t="shared" si="106"/>
        <v>8</v>
      </c>
      <c r="AN45" s="82">
        <f t="shared" si="107"/>
        <v>4</v>
      </c>
      <c r="AO45" s="82">
        <f t="shared" si="38"/>
        <v>5600</v>
      </c>
      <c r="AP45" s="82">
        <v>1.2</v>
      </c>
      <c r="AQ45" s="82">
        <v>0.1</v>
      </c>
      <c r="AR45" s="82">
        <f t="shared" si="39"/>
        <v>0.05</v>
      </c>
      <c r="AS45" s="82">
        <f t="shared" si="40"/>
        <v>0.05</v>
      </c>
      <c r="AT45" s="82">
        <f t="shared" si="41"/>
        <v>0.1</v>
      </c>
      <c r="AU45" s="82">
        <f t="shared" si="42"/>
        <v>1.2</v>
      </c>
      <c r="AV45" s="82">
        <f t="shared" si="43"/>
        <v>0.1</v>
      </c>
      <c r="AW45" s="82">
        <f t="shared" si="44"/>
        <v>0.2</v>
      </c>
      <c r="AX45" s="82">
        <f t="shared" si="45"/>
        <v>0.2</v>
      </c>
      <c r="AY45" s="82">
        <f t="shared" si="123"/>
        <v>0.2</v>
      </c>
      <c r="AZ45" s="82">
        <f t="shared" si="46"/>
        <v>0.5</v>
      </c>
      <c r="BA45" s="82">
        <f t="shared" si="47"/>
        <v>2800</v>
      </c>
      <c r="BB45" s="82">
        <f t="shared" si="48"/>
        <v>2800</v>
      </c>
      <c r="BC45" s="82">
        <f t="shared" si="49"/>
        <v>2800</v>
      </c>
      <c r="BD45" s="115">
        <f t="shared" si="50"/>
        <v>2800</v>
      </c>
      <c r="BE45" s="115">
        <f t="shared" si="51"/>
        <v>2800</v>
      </c>
      <c r="BF45" s="115">
        <f t="shared" si="52"/>
        <v>2800</v>
      </c>
      <c r="BG45" s="115">
        <f t="shared" si="115"/>
        <v>35</v>
      </c>
      <c r="BH45" s="115">
        <f t="shared" si="124"/>
        <v>35</v>
      </c>
      <c r="BI45" s="115">
        <f t="shared" si="119"/>
        <v>40</v>
      </c>
      <c r="BJ45" s="115">
        <f t="shared" si="125"/>
        <v>40</v>
      </c>
      <c r="BK45" s="115">
        <f t="shared" si="126"/>
        <v>40</v>
      </c>
      <c r="BL45" s="115">
        <f t="shared" si="127"/>
        <v>40</v>
      </c>
      <c r="BM45" s="115">
        <f t="shared" si="8"/>
        <v>8</v>
      </c>
      <c r="BN45" s="115">
        <f t="shared" si="121"/>
        <v>5</v>
      </c>
      <c r="BO45" s="115">
        <v>6800</v>
      </c>
      <c r="BP45" s="115">
        <f t="shared" si="122"/>
        <v>34000</v>
      </c>
      <c r="BQ45" s="115">
        <f t="shared" si="9"/>
        <v>35</v>
      </c>
      <c r="BR45" s="116">
        <f t="shared" si="10"/>
        <v>345</v>
      </c>
      <c r="BS45" s="116">
        <f t="shared" si="11"/>
        <v>200</v>
      </c>
    </row>
    <row r="46" spans="2:71" x14ac:dyDescent="0.25">
      <c r="B46" s="80">
        <f t="shared" si="59"/>
        <v>42</v>
      </c>
      <c r="C46" s="112" t="s">
        <v>306</v>
      </c>
      <c r="D46" s="87">
        <v>4689</v>
      </c>
      <c r="E46" s="87">
        <f t="shared" si="95"/>
        <v>1000</v>
      </c>
      <c r="F46" s="82">
        <f t="shared" si="96"/>
        <v>10</v>
      </c>
      <c r="G46" s="80">
        <f t="shared" si="97"/>
        <v>100</v>
      </c>
      <c r="H46" s="83">
        <f t="shared" si="98"/>
        <v>8</v>
      </c>
      <c r="I46" s="84">
        <f t="shared" si="99"/>
        <v>200</v>
      </c>
      <c r="J46" s="114">
        <f t="shared" si="15"/>
        <v>2</v>
      </c>
      <c r="K46" s="114">
        <f t="shared" si="16"/>
        <v>2</v>
      </c>
      <c r="L46" s="114">
        <f t="shared" si="100"/>
        <v>2</v>
      </c>
      <c r="M46" s="114">
        <f t="shared" si="17"/>
        <v>3</v>
      </c>
      <c r="N46" s="114">
        <f t="shared" si="101"/>
        <v>2</v>
      </c>
      <c r="O46" s="114">
        <f t="shared" si="102"/>
        <v>2</v>
      </c>
      <c r="P46" s="114">
        <f t="shared" si="103"/>
        <v>1</v>
      </c>
      <c r="Q46" s="115">
        <f t="shared" si="20"/>
        <v>15</v>
      </c>
      <c r="R46" s="82">
        <f t="shared" si="118"/>
        <v>18</v>
      </c>
      <c r="S46" s="116">
        <f t="shared" si="22"/>
        <v>10</v>
      </c>
      <c r="T46" s="80">
        <f t="shared" si="104"/>
        <v>3.75</v>
      </c>
      <c r="U46" s="80">
        <f t="shared" si="83"/>
        <v>3.5</v>
      </c>
      <c r="V46" s="82">
        <f t="shared" si="84"/>
        <v>10.5</v>
      </c>
      <c r="W46" s="82">
        <f t="shared" si="114"/>
        <v>10.5</v>
      </c>
      <c r="X46" s="80">
        <f t="shared" si="25"/>
        <v>4.5</v>
      </c>
      <c r="Y46" s="80">
        <v>4</v>
      </c>
      <c r="Z46" s="80">
        <f t="shared" si="27"/>
        <v>2</v>
      </c>
      <c r="AA46" s="80">
        <f t="shared" si="28"/>
        <v>6</v>
      </c>
      <c r="AB46" s="80">
        <f t="shared" si="117"/>
        <v>3.75</v>
      </c>
      <c r="AC46" s="82">
        <v>1</v>
      </c>
      <c r="AD46" s="80">
        <f t="shared" si="29"/>
        <v>2</v>
      </c>
      <c r="AE46" s="80">
        <f t="shared" si="116"/>
        <v>8</v>
      </c>
      <c r="AF46" s="82">
        <f t="shared" si="30"/>
        <v>8</v>
      </c>
      <c r="AG46" s="82">
        <f t="shared" si="105"/>
        <v>2</v>
      </c>
      <c r="AH46" s="82">
        <f t="shared" si="120"/>
        <v>4</v>
      </c>
      <c r="AI46" s="80">
        <f t="shared" si="32"/>
        <v>4</v>
      </c>
      <c r="AJ46" s="80">
        <f t="shared" si="33"/>
        <v>3.5</v>
      </c>
      <c r="AK46" s="115">
        <f t="shared" si="34"/>
        <v>2</v>
      </c>
      <c r="AL46" s="82">
        <f t="shared" si="35"/>
        <v>6</v>
      </c>
      <c r="AM46" s="82">
        <f t="shared" si="106"/>
        <v>8</v>
      </c>
      <c r="AN46" s="82">
        <f t="shared" si="107"/>
        <v>4</v>
      </c>
      <c r="AO46" s="82">
        <f t="shared" si="38"/>
        <v>5600</v>
      </c>
      <c r="AP46" s="82">
        <v>1.2</v>
      </c>
      <c r="AQ46" s="82">
        <v>0.1</v>
      </c>
      <c r="AR46" s="82">
        <f t="shared" si="39"/>
        <v>0.05</v>
      </c>
      <c r="AS46" s="82">
        <f t="shared" si="40"/>
        <v>0.05</v>
      </c>
      <c r="AT46" s="82">
        <f t="shared" si="41"/>
        <v>0.1</v>
      </c>
      <c r="AU46" s="82">
        <f t="shared" si="42"/>
        <v>1.2</v>
      </c>
      <c r="AV46" s="82">
        <f t="shared" si="43"/>
        <v>0.1</v>
      </c>
      <c r="AW46" s="82">
        <f t="shared" si="44"/>
        <v>0.2</v>
      </c>
      <c r="AX46" s="82">
        <f t="shared" si="45"/>
        <v>0.2</v>
      </c>
      <c r="AY46" s="82">
        <f t="shared" si="123"/>
        <v>0.2</v>
      </c>
      <c r="AZ46" s="82">
        <f t="shared" si="46"/>
        <v>0.5</v>
      </c>
      <c r="BA46" s="82">
        <f t="shared" si="47"/>
        <v>2800</v>
      </c>
      <c r="BB46" s="82">
        <f t="shared" si="48"/>
        <v>2800</v>
      </c>
      <c r="BC46" s="82">
        <f t="shared" si="49"/>
        <v>2800</v>
      </c>
      <c r="BD46" s="115">
        <f t="shared" si="50"/>
        <v>2800</v>
      </c>
      <c r="BE46" s="115">
        <f t="shared" si="51"/>
        <v>2800</v>
      </c>
      <c r="BF46" s="115">
        <f t="shared" si="52"/>
        <v>2800</v>
      </c>
      <c r="BG46" s="115">
        <f t="shared" si="115"/>
        <v>35</v>
      </c>
      <c r="BH46" s="115">
        <f t="shared" si="124"/>
        <v>35</v>
      </c>
      <c r="BI46" s="115">
        <f t="shared" si="119"/>
        <v>40</v>
      </c>
      <c r="BJ46" s="115">
        <f t="shared" si="125"/>
        <v>40</v>
      </c>
      <c r="BK46" s="115">
        <f t="shared" si="126"/>
        <v>40</v>
      </c>
      <c r="BL46" s="115">
        <f t="shared" si="127"/>
        <v>40</v>
      </c>
      <c r="BM46" s="115">
        <f t="shared" si="8"/>
        <v>3</v>
      </c>
      <c r="BN46" s="115">
        <f t="shared" si="121"/>
        <v>2</v>
      </c>
      <c r="BO46" s="115">
        <f t="shared" si="57"/>
        <v>4200</v>
      </c>
      <c r="BP46" s="115">
        <f t="shared" si="122"/>
        <v>21000</v>
      </c>
      <c r="BQ46" s="115">
        <f t="shared" si="9"/>
        <v>35</v>
      </c>
      <c r="BR46" s="116">
        <f t="shared" si="10"/>
        <v>156</v>
      </c>
      <c r="BS46" s="116">
        <f t="shared" si="11"/>
        <v>120</v>
      </c>
    </row>
    <row r="47" spans="2:71" x14ac:dyDescent="0.25">
      <c r="B47" s="80">
        <f t="shared" si="59"/>
        <v>43</v>
      </c>
      <c r="C47" s="81" t="s">
        <v>152</v>
      </c>
      <c r="D47" s="87">
        <v>42965</v>
      </c>
      <c r="E47" s="87">
        <f t="shared" si="95"/>
        <v>2000</v>
      </c>
      <c r="F47" s="82">
        <f t="shared" si="96"/>
        <v>20</v>
      </c>
      <c r="G47" s="80">
        <f t="shared" si="97"/>
        <v>200</v>
      </c>
      <c r="H47" s="83">
        <f t="shared" si="98"/>
        <v>72</v>
      </c>
      <c r="I47" s="84">
        <f t="shared" si="99"/>
        <v>400</v>
      </c>
      <c r="J47" s="114">
        <f t="shared" si="15"/>
        <v>5</v>
      </c>
      <c r="K47" s="114">
        <f t="shared" si="16"/>
        <v>4</v>
      </c>
      <c r="L47" s="114">
        <f t="shared" si="100"/>
        <v>5</v>
      </c>
      <c r="M47" s="114">
        <f t="shared" si="17"/>
        <v>6</v>
      </c>
      <c r="N47" s="114">
        <f t="shared" si="101"/>
        <v>3</v>
      </c>
      <c r="O47" s="114">
        <f t="shared" si="102"/>
        <v>3</v>
      </c>
      <c r="P47" s="114">
        <f t="shared" si="103"/>
        <v>2</v>
      </c>
      <c r="Q47" s="115">
        <f t="shared" si="20"/>
        <v>25</v>
      </c>
      <c r="R47" s="82">
        <f t="shared" si="118"/>
        <v>30</v>
      </c>
      <c r="S47" s="116">
        <f t="shared" si="22"/>
        <v>20</v>
      </c>
      <c r="T47" s="80">
        <f t="shared" si="104"/>
        <v>6.25</v>
      </c>
      <c r="U47" s="80">
        <f t="shared" si="83"/>
        <v>3.5</v>
      </c>
      <c r="V47" s="82">
        <f t="shared" si="84"/>
        <v>10.5</v>
      </c>
      <c r="W47" s="82">
        <f t="shared" si="114"/>
        <v>10.5</v>
      </c>
      <c r="X47" s="80">
        <f t="shared" si="25"/>
        <v>4.5</v>
      </c>
      <c r="Y47" s="80">
        <f t="shared" si="26"/>
        <v>2.7</v>
      </c>
      <c r="Z47" s="80">
        <f t="shared" si="27"/>
        <v>3</v>
      </c>
      <c r="AA47" s="80">
        <f t="shared" si="28"/>
        <v>10</v>
      </c>
      <c r="AB47" s="80">
        <f t="shared" si="117"/>
        <v>6.25</v>
      </c>
      <c r="AC47" s="82">
        <v>1</v>
      </c>
      <c r="AD47" s="80">
        <f t="shared" si="29"/>
        <v>1.35</v>
      </c>
      <c r="AE47" s="80">
        <f t="shared" si="116"/>
        <v>5.4</v>
      </c>
      <c r="AF47" s="82">
        <f t="shared" si="30"/>
        <v>5.4</v>
      </c>
      <c r="AG47" s="82">
        <f t="shared" si="105"/>
        <v>1.35</v>
      </c>
      <c r="AH47" s="82">
        <f t="shared" si="120"/>
        <v>2.7</v>
      </c>
      <c r="AI47" s="80">
        <f t="shared" si="32"/>
        <v>2.7</v>
      </c>
      <c r="AJ47" s="80">
        <f t="shared" si="33"/>
        <v>3.5</v>
      </c>
      <c r="AK47" s="115">
        <f t="shared" si="34"/>
        <v>4</v>
      </c>
      <c r="AL47" s="82">
        <f t="shared" si="35"/>
        <v>10</v>
      </c>
      <c r="AM47" s="82">
        <f t="shared" si="106"/>
        <v>5.4</v>
      </c>
      <c r="AN47" s="82">
        <f t="shared" si="107"/>
        <v>2.7</v>
      </c>
      <c r="AO47" s="82">
        <f t="shared" si="38"/>
        <v>9600</v>
      </c>
      <c r="AP47" s="82">
        <f t="shared" si="61"/>
        <v>1.1000000000000001</v>
      </c>
      <c r="AQ47" s="82">
        <v>0.1</v>
      </c>
      <c r="AR47" s="82">
        <f t="shared" si="39"/>
        <v>0.05</v>
      </c>
      <c r="AS47" s="82">
        <f t="shared" si="40"/>
        <v>0.05</v>
      </c>
      <c r="AT47" s="82">
        <f t="shared" si="41"/>
        <v>0.1</v>
      </c>
      <c r="AU47" s="82">
        <f t="shared" si="42"/>
        <v>1.1000000000000001</v>
      </c>
      <c r="AV47" s="82">
        <f t="shared" si="43"/>
        <v>0.1</v>
      </c>
      <c r="AW47" s="82">
        <f t="shared" si="44"/>
        <v>0.2</v>
      </c>
      <c r="AX47" s="82">
        <f t="shared" si="45"/>
        <v>0.2</v>
      </c>
      <c r="AY47" s="82">
        <f t="shared" si="123"/>
        <v>0.2</v>
      </c>
      <c r="AZ47" s="82">
        <f t="shared" si="46"/>
        <v>0.5</v>
      </c>
      <c r="BA47" s="82">
        <f t="shared" si="47"/>
        <v>4800</v>
      </c>
      <c r="BB47" s="82">
        <f t="shared" si="48"/>
        <v>4800</v>
      </c>
      <c r="BC47" s="82">
        <f t="shared" si="49"/>
        <v>4800</v>
      </c>
      <c r="BD47" s="115">
        <f t="shared" si="50"/>
        <v>4800</v>
      </c>
      <c r="BE47" s="115">
        <f t="shared" si="51"/>
        <v>4800</v>
      </c>
      <c r="BF47" s="115">
        <f t="shared" si="52"/>
        <v>4800</v>
      </c>
      <c r="BG47" s="115">
        <f t="shared" si="115"/>
        <v>60</v>
      </c>
      <c r="BH47" s="115">
        <f t="shared" si="124"/>
        <v>60</v>
      </c>
      <c r="BI47" s="115">
        <f t="shared" si="119"/>
        <v>69</v>
      </c>
      <c r="BJ47" s="115">
        <f t="shared" si="125"/>
        <v>69</v>
      </c>
      <c r="BK47" s="115">
        <f t="shared" si="126"/>
        <v>69</v>
      </c>
      <c r="BL47" s="115">
        <f t="shared" si="127"/>
        <v>69</v>
      </c>
      <c r="BM47" s="115">
        <f t="shared" si="8"/>
        <v>8</v>
      </c>
      <c r="BN47" s="115">
        <f t="shared" si="121"/>
        <v>5</v>
      </c>
      <c r="BO47" s="115">
        <f t="shared" si="57"/>
        <v>7200</v>
      </c>
      <c r="BP47" s="115">
        <f t="shared" si="122"/>
        <v>36000</v>
      </c>
      <c r="BQ47" s="115">
        <f t="shared" si="9"/>
        <v>60</v>
      </c>
      <c r="BR47" s="116">
        <f t="shared" si="10"/>
        <v>1432</v>
      </c>
      <c r="BS47" s="116">
        <f t="shared" si="11"/>
        <v>200</v>
      </c>
    </row>
    <row r="48" spans="2:71" x14ac:dyDescent="0.25">
      <c r="B48" s="80">
        <f t="shared" si="59"/>
        <v>44</v>
      </c>
      <c r="C48" s="113" t="s">
        <v>307</v>
      </c>
      <c r="D48" s="87">
        <v>72220</v>
      </c>
      <c r="E48" s="87">
        <f t="shared" si="95"/>
        <v>2000</v>
      </c>
      <c r="F48" s="82">
        <f t="shared" si="96"/>
        <v>20</v>
      </c>
      <c r="G48" s="80">
        <f t="shared" si="97"/>
        <v>200</v>
      </c>
      <c r="H48" s="83">
        <f t="shared" si="98"/>
        <v>120</v>
      </c>
      <c r="I48" s="84">
        <f t="shared" si="99"/>
        <v>400</v>
      </c>
      <c r="J48" s="114">
        <f t="shared" si="15"/>
        <v>5</v>
      </c>
      <c r="K48" s="114">
        <f t="shared" si="16"/>
        <v>4</v>
      </c>
      <c r="L48" s="114">
        <f t="shared" si="100"/>
        <v>5</v>
      </c>
      <c r="M48" s="114">
        <f t="shared" si="17"/>
        <v>6</v>
      </c>
      <c r="N48" s="114">
        <f t="shared" si="101"/>
        <v>3</v>
      </c>
      <c r="O48" s="114">
        <f t="shared" si="102"/>
        <v>3</v>
      </c>
      <c r="P48" s="114">
        <f t="shared" si="103"/>
        <v>2</v>
      </c>
      <c r="Q48" s="115">
        <f t="shared" si="20"/>
        <v>25</v>
      </c>
      <c r="R48" s="82">
        <f t="shared" si="118"/>
        <v>30</v>
      </c>
      <c r="S48" s="116">
        <f t="shared" si="22"/>
        <v>20</v>
      </c>
      <c r="T48" s="80">
        <f t="shared" si="104"/>
        <v>6.25</v>
      </c>
      <c r="U48" s="80">
        <f t="shared" si="83"/>
        <v>3.5</v>
      </c>
      <c r="V48" s="82">
        <f t="shared" si="84"/>
        <v>10.5</v>
      </c>
      <c r="W48" s="82">
        <f t="shared" si="114"/>
        <v>10.5</v>
      </c>
      <c r="X48" s="80">
        <f t="shared" si="25"/>
        <v>4.5</v>
      </c>
      <c r="Y48" s="80">
        <f t="shared" si="26"/>
        <v>2.7</v>
      </c>
      <c r="Z48" s="80">
        <f t="shared" si="27"/>
        <v>3</v>
      </c>
      <c r="AA48" s="80">
        <f t="shared" si="28"/>
        <v>10</v>
      </c>
      <c r="AB48" s="80">
        <f t="shared" si="117"/>
        <v>6.25</v>
      </c>
      <c r="AC48" s="82">
        <v>1</v>
      </c>
      <c r="AD48" s="80">
        <f>Y48/2</f>
        <v>1.35</v>
      </c>
      <c r="AE48" s="80">
        <f t="shared" si="116"/>
        <v>5.4</v>
      </c>
      <c r="AF48" s="82">
        <f t="shared" si="30"/>
        <v>5.4</v>
      </c>
      <c r="AG48" s="82">
        <f t="shared" si="105"/>
        <v>1.35</v>
      </c>
      <c r="AH48" s="82">
        <f t="shared" si="120"/>
        <v>2.7</v>
      </c>
      <c r="AI48" s="80">
        <f t="shared" si="32"/>
        <v>2.7</v>
      </c>
      <c r="AJ48" s="80">
        <f t="shared" si="33"/>
        <v>3.5</v>
      </c>
      <c r="AK48" s="115">
        <f t="shared" si="34"/>
        <v>4</v>
      </c>
      <c r="AL48" s="82">
        <f>AA48</f>
        <v>10</v>
      </c>
      <c r="AM48" s="82">
        <f t="shared" si="106"/>
        <v>5.4</v>
      </c>
      <c r="AN48" s="82">
        <f t="shared" si="107"/>
        <v>2.7</v>
      </c>
      <c r="AO48" s="82">
        <f t="shared" si="38"/>
        <v>9600</v>
      </c>
      <c r="AP48" s="82">
        <f t="shared" si="61"/>
        <v>1.1000000000000001</v>
      </c>
      <c r="AQ48" s="82">
        <v>0.1</v>
      </c>
      <c r="AR48" s="82">
        <f t="shared" si="39"/>
        <v>0.05</v>
      </c>
      <c r="AS48" s="82"/>
      <c r="AT48" s="82">
        <f t="shared" si="41"/>
        <v>0.1</v>
      </c>
      <c r="AU48" s="82">
        <f t="shared" si="42"/>
        <v>1.1000000000000001</v>
      </c>
      <c r="AV48" s="82">
        <f t="shared" si="43"/>
        <v>0.1</v>
      </c>
      <c r="AW48" s="82">
        <f t="shared" si="44"/>
        <v>0.2</v>
      </c>
      <c r="AX48" s="82">
        <f t="shared" si="45"/>
        <v>0.2</v>
      </c>
      <c r="AY48" s="82">
        <f t="shared" si="123"/>
        <v>0.2</v>
      </c>
      <c r="AZ48" s="82">
        <f t="shared" si="46"/>
        <v>0</v>
      </c>
      <c r="BA48" s="82">
        <f t="shared" si="47"/>
        <v>4800</v>
      </c>
      <c r="BB48" s="82">
        <f t="shared" si="48"/>
        <v>4800</v>
      </c>
      <c r="BC48" s="82">
        <f t="shared" si="49"/>
        <v>4800</v>
      </c>
      <c r="BD48" s="115">
        <f t="shared" si="50"/>
        <v>4800</v>
      </c>
      <c r="BE48" s="115">
        <f t="shared" si="51"/>
        <v>4800</v>
      </c>
      <c r="BF48" s="115">
        <f t="shared" si="52"/>
        <v>4800</v>
      </c>
      <c r="BG48" s="115">
        <f t="shared" si="115"/>
        <v>60</v>
      </c>
      <c r="BH48" s="115">
        <f t="shared" si="124"/>
        <v>60</v>
      </c>
      <c r="BI48" s="115">
        <f t="shared" si="119"/>
        <v>69</v>
      </c>
      <c r="BJ48" s="115">
        <f t="shared" si="125"/>
        <v>69</v>
      </c>
      <c r="BK48" s="115">
        <f t="shared" si="126"/>
        <v>69</v>
      </c>
      <c r="BL48" s="115">
        <f t="shared" si="127"/>
        <v>69</v>
      </c>
      <c r="BM48" s="115">
        <f t="shared" si="8"/>
        <v>8</v>
      </c>
      <c r="BN48" s="115">
        <f t="shared" si="121"/>
        <v>5</v>
      </c>
      <c r="BO48" s="115">
        <f t="shared" si="57"/>
        <v>7200</v>
      </c>
      <c r="BP48" s="115">
        <f t="shared" si="122"/>
        <v>36000</v>
      </c>
      <c r="BQ48" s="115">
        <f t="shared" si="9"/>
        <v>60</v>
      </c>
      <c r="BR48" s="116">
        <f t="shared" si="10"/>
        <v>2407</v>
      </c>
      <c r="BS48" s="116">
        <f t="shared" si="11"/>
        <v>200</v>
      </c>
    </row>
    <row r="49" spans="2:71" x14ac:dyDescent="0.25">
      <c r="B49" s="238" t="s">
        <v>153</v>
      </c>
      <c r="C49" s="238"/>
      <c r="D49" s="119">
        <f>SUM(D5:D48)</f>
        <v>729164</v>
      </c>
      <c r="E49" s="25">
        <f>SUM(E5:E48)</f>
        <v>52000</v>
      </c>
      <c r="F49" s="25">
        <f t="shared" ref="F49:BF49" si="128">SUM(F5:F48)</f>
        <v>520</v>
      </c>
      <c r="G49" s="25">
        <f t="shared" si="128"/>
        <v>5200</v>
      </c>
      <c r="H49" s="25">
        <f t="shared" si="128"/>
        <v>1215</v>
      </c>
      <c r="I49" s="25">
        <f t="shared" si="128"/>
        <v>12600</v>
      </c>
      <c r="J49" s="25">
        <f t="shared" si="128"/>
        <v>145</v>
      </c>
      <c r="K49" s="25">
        <f t="shared" si="128"/>
        <v>126</v>
      </c>
      <c r="L49" s="25">
        <f t="shared" si="128"/>
        <v>145</v>
      </c>
      <c r="M49" s="25">
        <f t="shared" si="128"/>
        <v>186</v>
      </c>
      <c r="N49" s="25">
        <f t="shared" si="128"/>
        <v>104</v>
      </c>
      <c r="O49" s="25">
        <f t="shared" si="128"/>
        <v>104</v>
      </c>
      <c r="P49" s="25">
        <f t="shared" si="128"/>
        <v>63</v>
      </c>
      <c r="Q49" s="25">
        <f t="shared" si="128"/>
        <v>830</v>
      </c>
      <c r="R49" s="25">
        <f t="shared" si="128"/>
        <v>980</v>
      </c>
      <c r="S49" s="25">
        <f t="shared" si="128"/>
        <v>630</v>
      </c>
      <c r="T49" s="25">
        <f t="shared" si="128"/>
        <v>210</v>
      </c>
      <c r="U49" s="25">
        <f t="shared" si="128"/>
        <v>150</v>
      </c>
      <c r="V49" s="25">
        <f t="shared" si="128"/>
        <v>450</v>
      </c>
      <c r="W49" s="25">
        <f t="shared" si="128"/>
        <v>450</v>
      </c>
      <c r="X49" s="25">
        <f t="shared" si="128"/>
        <v>200</v>
      </c>
      <c r="Y49" s="25">
        <f t="shared" si="128"/>
        <v>130</v>
      </c>
      <c r="Z49" s="25">
        <f t="shared" si="128"/>
        <v>104</v>
      </c>
      <c r="AA49" s="25">
        <f t="shared" si="128"/>
        <v>315</v>
      </c>
      <c r="AB49" s="25">
        <f t="shared" si="128"/>
        <v>200</v>
      </c>
      <c r="AC49" s="25">
        <f t="shared" si="128"/>
        <v>44</v>
      </c>
      <c r="AD49" s="25">
        <f t="shared" si="128"/>
        <v>60</v>
      </c>
      <c r="AE49" s="25">
        <f t="shared" si="128"/>
        <v>250</v>
      </c>
      <c r="AF49" s="25">
        <f t="shared" si="128"/>
        <v>250</v>
      </c>
      <c r="AG49" s="25">
        <f t="shared" si="128"/>
        <v>60</v>
      </c>
      <c r="AH49" s="25">
        <f t="shared" si="128"/>
        <v>126</v>
      </c>
      <c r="AI49" s="25">
        <f t="shared" si="128"/>
        <v>126</v>
      </c>
      <c r="AJ49" s="25">
        <f t="shared" si="128"/>
        <v>150</v>
      </c>
      <c r="AK49" s="25">
        <f t="shared" si="128"/>
        <v>126</v>
      </c>
      <c r="AL49" s="25">
        <f t="shared" si="128"/>
        <v>315</v>
      </c>
      <c r="AM49" s="25">
        <f t="shared" si="128"/>
        <v>250</v>
      </c>
      <c r="AN49" s="25">
        <f t="shared" si="128"/>
        <v>126</v>
      </c>
      <c r="AO49" s="25">
        <f t="shared" si="128"/>
        <v>315200</v>
      </c>
      <c r="AP49" s="25">
        <f t="shared" si="128"/>
        <v>50</v>
      </c>
      <c r="AQ49" s="25">
        <f t="shared" si="128"/>
        <v>4</v>
      </c>
      <c r="AR49" s="25">
        <f t="shared" si="128"/>
        <v>2</v>
      </c>
      <c r="AS49" s="25">
        <f t="shared" si="128"/>
        <v>2</v>
      </c>
      <c r="AT49" s="25">
        <f t="shared" si="128"/>
        <v>4</v>
      </c>
      <c r="AU49" s="25">
        <f t="shared" si="128"/>
        <v>70</v>
      </c>
      <c r="AV49" s="25">
        <f t="shared" si="128"/>
        <v>3</v>
      </c>
      <c r="AW49" s="25">
        <f t="shared" si="128"/>
        <v>6</v>
      </c>
      <c r="AX49" s="25">
        <f t="shared" si="128"/>
        <v>5</v>
      </c>
      <c r="AY49" s="25">
        <f t="shared" si="128"/>
        <v>5</v>
      </c>
      <c r="AZ49" s="25">
        <f t="shared" si="128"/>
        <v>20</v>
      </c>
      <c r="BA49" s="25">
        <f t="shared" si="128"/>
        <v>150000</v>
      </c>
      <c r="BB49" s="25">
        <f t="shared" si="128"/>
        <v>150000</v>
      </c>
      <c r="BC49" s="25">
        <f t="shared" si="128"/>
        <v>150000</v>
      </c>
      <c r="BD49" s="25">
        <f t="shared" si="128"/>
        <v>150000</v>
      </c>
      <c r="BE49" s="25">
        <f t="shared" si="128"/>
        <v>150000</v>
      </c>
      <c r="BF49" s="25">
        <f t="shared" si="128"/>
        <v>150000</v>
      </c>
      <c r="BG49" s="25">
        <f t="shared" ref="BG49:BS49" si="129">SUM(BG5:BG48)</f>
        <v>1992</v>
      </c>
      <c r="BH49" s="25">
        <f t="shared" si="129"/>
        <v>1992</v>
      </c>
      <c r="BI49" s="25">
        <f t="shared" si="129"/>
        <v>2238</v>
      </c>
      <c r="BJ49" s="25">
        <f t="shared" si="129"/>
        <v>2238</v>
      </c>
      <c r="BK49" s="25">
        <f t="shared" si="129"/>
        <v>2238</v>
      </c>
      <c r="BL49" s="25">
        <f t="shared" si="129"/>
        <v>2238</v>
      </c>
      <c r="BM49" s="25">
        <f t="shared" si="129"/>
        <v>227</v>
      </c>
      <c r="BN49" s="25">
        <f t="shared" si="129"/>
        <v>145</v>
      </c>
      <c r="BO49" s="25">
        <f t="shared" si="129"/>
        <v>252000</v>
      </c>
      <c r="BP49" s="25">
        <f t="shared" si="129"/>
        <v>1260000</v>
      </c>
      <c r="BQ49" s="25">
        <f t="shared" si="129"/>
        <v>1992</v>
      </c>
      <c r="BR49" s="25">
        <f t="shared" si="129"/>
        <v>24305</v>
      </c>
      <c r="BS49" s="25">
        <f t="shared" si="129"/>
        <v>6300</v>
      </c>
    </row>
    <row r="50" spans="2:71" s="21" customFormat="1" ht="60" customHeight="1" x14ac:dyDescent="0.25">
      <c r="E50" s="21" t="str">
        <f>E2</f>
        <v>Desloc. Sondagem 2/1/2"</v>
      </c>
      <c r="F50" s="24" t="str">
        <f t="shared" ref="F50:P50" si="130">F2</f>
        <v>Sondagem 2/1/2" Mobilização</v>
      </c>
      <c r="G50" s="24" t="str">
        <f t="shared" si="130"/>
        <v>Sondagens 2/1/12" (metro)</v>
      </c>
      <c r="H50" s="24" t="str">
        <f t="shared" si="130"/>
        <v>Sondagen    Manual Trado        (metro)</v>
      </c>
      <c r="I50" s="24" t="str">
        <f t="shared" si="130"/>
        <v>Construção (m²)</v>
      </c>
      <c r="J50" s="24" t="str">
        <f t="shared" si="130"/>
        <v>Terraplenagem Planta</v>
      </c>
      <c r="K50" s="24" t="str">
        <f t="shared" si="130"/>
        <v>Terraplenagem  Seções</v>
      </c>
      <c r="L50" s="24" t="str">
        <f t="shared" si="130"/>
        <v>Drenagem</v>
      </c>
      <c r="M50" s="24" t="str">
        <f t="shared" si="130"/>
        <v>Anteprojeto 600 m²</v>
      </c>
      <c r="N50" s="24" t="str">
        <f t="shared" si="130"/>
        <v>Anteprojeto 600 -1500 m²</v>
      </c>
      <c r="O50" s="24" t="str">
        <f t="shared" si="130"/>
        <v>Anteprojeto 1500 - 3000 m²</v>
      </c>
      <c r="P50" s="24" t="str">
        <f t="shared" si="130"/>
        <v>Anteprojeto acima de  3000 m²</v>
      </c>
      <c r="Q50" s="24" t="str">
        <f>Q2</f>
        <v>Arquitetônico (Prancha A1)</v>
      </c>
      <c r="R50" s="24" t="str">
        <f>R2</f>
        <v>Desenv. Detalham. (Prancha A1)</v>
      </c>
      <c r="S50" s="24" t="str">
        <f>S2</f>
        <v>Estrutural Concreto (Prancha A1)</v>
      </c>
      <c r="T50" s="24" t="str">
        <f t="shared" ref="T50:AM50" si="131">T2</f>
        <v>Estrutura Metálica (Prancha A1)</v>
      </c>
      <c r="U50" s="24" t="str">
        <f t="shared" si="131"/>
        <v>Ar Condicionado (Prancha A1)</v>
      </c>
      <c r="V50" s="24" t="str">
        <f t="shared" si="131"/>
        <v>Hidro Sanitária (Prancha A1)</v>
      </c>
      <c r="W50" s="24" t="str">
        <f t="shared" si="131"/>
        <v>Elétrico (Prancha A1)</v>
      </c>
      <c r="X50" s="24" t="str">
        <f t="shared" si="131"/>
        <v>Cabeamento Estruturado (Prancha A1)</v>
      </c>
      <c r="Y50" s="24" t="str">
        <f t="shared" si="131"/>
        <v>Infraestrutura TV-Alarme Seg.-Sonoriz. (Prancha A1)</v>
      </c>
      <c r="Z50" s="24" t="str">
        <f t="shared" ref="Z50" si="132">Z2</f>
        <v>SPDA   (Prancha A1)</v>
      </c>
      <c r="AA50" s="24" t="str">
        <f t="shared" si="131"/>
        <v>Combate incendio (Prancha A1)</v>
      </c>
      <c r="AB50" s="24" t="str">
        <f t="shared" si="131"/>
        <v>Engradamento  Metálico (Prancha A1)</v>
      </c>
      <c r="AC50" s="24" t="str">
        <f t="shared" si="131"/>
        <v>Irrigação (Prancha A1)</v>
      </c>
      <c r="AD50" s="24" t="str">
        <f t="shared" si="131"/>
        <v>Impermeabilização (Prancha A1)</v>
      </c>
      <c r="AE50" s="24" t="str">
        <f t="shared" si="131"/>
        <v>Luminotécnico     (Prancha A1)</v>
      </c>
      <c r="AF50" s="24" t="str">
        <f t="shared" si="131"/>
        <v>Paisagismo (Prancha A1)</v>
      </c>
      <c r="AG50" s="24" t="str">
        <f t="shared" si="131"/>
        <v>Acústica (Prancha A1)</v>
      </c>
      <c r="AH50" s="24" t="str">
        <f t="shared" si="131"/>
        <v>Aquec Solar Água Quente (Prancha A1)</v>
      </c>
      <c r="AI50" s="24" t="str">
        <f t="shared" si="131"/>
        <v>GLP       (Prancha A1)</v>
      </c>
      <c r="AJ50" s="24" t="str">
        <f t="shared" si="131"/>
        <v>Gases Medicinais      (Prancha A1)</v>
      </c>
      <c r="AK50" s="24" t="str">
        <f t="shared" si="131"/>
        <v>Detalhamentos Complementares (Prancha A1)</v>
      </c>
      <c r="AL50" s="24" t="str">
        <f t="shared" si="131"/>
        <v>Aprovação Prefeitura (Prancha A1)</v>
      </c>
      <c r="AM50" s="24" t="str">
        <f t="shared" si="131"/>
        <v>Aprovação Corpo Bombeiros (Prancha A1)</v>
      </c>
      <c r="AN50" s="24" t="str">
        <f t="shared" ref="AN50:BS50" si="133">AN2</f>
        <v>Cadastro Existente (Prancha A1)</v>
      </c>
      <c r="AO50" s="24" t="str">
        <f t="shared" si="133"/>
        <v>Memorial</v>
      </c>
      <c r="AP50" s="24" t="str">
        <f t="shared" si="133"/>
        <v xml:space="preserve"> INTERCEPTOR - SES</v>
      </c>
      <c r="AQ50" s="24" t="str">
        <f t="shared" si="133"/>
        <v>ELEVATÓRIA (*7,5 CV &lt;P&lt;25 CV)</v>
      </c>
      <c r="AR50" s="24" t="str">
        <f t="shared" si="133"/>
        <v>ELEVATORIA (75CV&lt;=P&lt;=200CV)</v>
      </c>
      <c r="AS50" s="24" t="str">
        <f t="shared" si="133"/>
        <v>ETE - PORTE 4 - 100 &lt;= VAZAO &lt; 400 L/S</v>
      </c>
      <c r="AT50" s="24" t="str">
        <f t="shared" si="133"/>
        <v>ETE - PORTE 2 - 15 &lt;= VAZAO &lt; 50 L/S</v>
      </c>
      <c r="AU50" s="24" t="str">
        <f t="shared" si="133"/>
        <v xml:space="preserve"> REDE COLETORA - RCE - SES</v>
      </c>
      <c r="AV50" s="24" t="str">
        <f t="shared" si="133"/>
        <v>TRANSIENTE HIDRu. RECALQUE - SES</v>
      </c>
      <c r="AW50" s="24" t="str">
        <f t="shared" si="133"/>
        <v>URBANIZACAO E PAISAGISMO - ESTACAO DE TRATAMENTO DE ESGOTOS - SES</v>
      </c>
      <c r="AX50" s="24" t="str">
        <f t="shared" si="133"/>
        <v>TRAVESSIA - CORREGOS -  SES</v>
      </c>
      <c r="AY50" s="24" t="str">
        <f t="shared" si="133"/>
        <v>TRAVESSIA - RODOVIAS E/OU FERROVIAS - SES</v>
      </c>
      <c r="AZ50" s="24" t="str">
        <f t="shared" si="133"/>
        <v>LINHA DE RECALQUE, PROJETO E DETALHAMENTO, SES.</v>
      </c>
      <c r="BA50" s="24" t="str">
        <f t="shared" ref="BA50:BH50" si="134">BA2</f>
        <v>Planilha Edificações &lt;=6.000 m²</v>
      </c>
      <c r="BB50" s="24" t="str">
        <f t="shared" si="134"/>
        <v>Planilha Edificações &gt;6.000</v>
      </c>
      <c r="BC50" s="24" t="str">
        <f t="shared" si="134"/>
        <v>Planilha Edif. Novas Áreas&lt;= 1.000m²</v>
      </c>
      <c r="BD50" s="24" t="str">
        <f t="shared" si="134"/>
        <v>Planilha Edif. Novas Áreas&gt; 1.000m²</v>
      </c>
      <c r="BE50" s="24" t="str">
        <f t="shared" si="134"/>
        <v>Planilha Edif. Redormas&lt;= 1.000m²</v>
      </c>
      <c r="BF50" s="24" t="str">
        <f t="shared" si="134"/>
        <v>Planilha Edif. Redormas&gt;1.000m²</v>
      </c>
      <c r="BG50" s="24" t="str">
        <f t="shared" si="134"/>
        <v>Diária com Pernoite</v>
      </c>
      <c r="BH50" s="24" t="str">
        <f t="shared" si="134"/>
        <v>Diária sem Pernoite</v>
      </c>
      <c r="BI50" s="24" t="str">
        <f t="shared" ref="BI50:BL50" si="135">BI2</f>
        <v>Eng. Consultor</v>
      </c>
      <c r="BJ50" s="24" t="str">
        <f t="shared" si="135"/>
        <v>Eng. Coordenador</v>
      </c>
      <c r="BK50" s="24" t="str">
        <f t="shared" si="135"/>
        <v>Eng. Senior</v>
      </c>
      <c r="BL50" s="24" t="str">
        <f t="shared" si="135"/>
        <v>Eng. Júnior</v>
      </c>
      <c r="BM50" s="24" t="str">
        <f t="shared" si="133"/>
        <v>Planialtimétrico 2000 m²</v>
      </c>
      <c r="BN50" s="24" t="str">
        <f t="shared" si="133"/>
        <v>Planialtimétrico 2000 - 10.000 m²</v>
      </c>
      <c r="BO50" s="24" t="str">
        <f t="shared" si="133"/>
        <v>Planialtimétrico 10.000 - 50.000 m²</v>
      </c>
      <c r="BP50" s="24" t="str">
        <f t="shared" si="133"/>
        <v>Planialtimétrico maior que 50.000 m²</v>
      </c>
      <c r="BQ50" s="24" t="str">
        <f t="shared" si="133"/>
        <v>Deslocamento intermunicipal</v>
      </c>
      <c r="BR50" s="24" t="str">
        <f t="shared" si="133"/>
        <v>Cópia A4</v>
      </c>
      <c r="BS50" s="24" t="str">
        <f t="shared" si="133"/>
        <v>Cópia A1</v>
      </c>
    </row>
  </sheetData>
  <mergeCells count="71">
    <mergeCell ref="AX2:AX4"/>
    <mergeCell ref="AY2:AY4"/>
    <mergeCell ref="AZ2:AZ4"/>
    <mergeCell ref="AQ2:AQ4"/>
    <mergeCell ref="AR2:AR4"/>
    <mergeCell ref="AS2:AS4"/>
    <mergeCell ref="AT2:AT4"/>
    <mergeCell ref="AJ2:AJ4"/>
    <mergeCell ref="AP2:AP4"/>
    <mergeCell ref="AU2:AU4"/>
    <mergeCell ref="AV2:AV4"/>
    <mergeCell ref="AW2:AW4"/>
    <mergeCell ref="B2:B4"/>
    <mergeCell ref="B49:C49"/>
    <mergeCell ref="H2:H4"/>
    <mergeCell ref="F2:F4"/>
    <mergeCell ref="G2:G4"/>
    <mergeCell ref="T2:T4"/>
    <mergeCell ref="C2:C4"/>
    <mergeCell ref="D2:D4"/>
    <mergeCell ref="I2:I4"/>
    <mergeCell ref="Q2:Q4"/>
    <mergeCell ref="S2:S4"/>
    <mergeCell ref="J2:J4"/>
    <mergeCell ref="K2:K4"/>
    <mergeCell ref="L2:L4"/>
    <mergeCell ref="M2:M4"/>
    <mergeCell ref="N2:N4"/>
    <mergeCell ref="O2:O4"/>
    <mergeCell ref="E2:E4"/>
    <mergeCell ref="R2:R4"/>
    <mergeCell ref="P2:P4"/>
    <mergeCell ref="BR2:BR4"/>
    <mergeCell ref="BS2:BS4"/>
    <mergeCell ref="AI2:AI4"/>
    <mergeCell ref="AK2:AK4"/>
    <mergeCell ref="AL2:AL4"/>
    <mergeCell ref="AM2:AM4"/>
    <mergeCell ref="AN2:AN4"/>
    <mergeCell ref="BM2:BM4"/>
    <mergeCell ref="BN2:BN4"/>
    <mergeCell ref="AO2:AO4"/>
    <mergeCell ref="BA2:BA4"/>
    <mergeCell ref="BB2:BB4"/>
    <mergeCell ref="BC2:BC4"/>
    <mergeCell ref="BD2:BD4"/>
    <mergeCell ref="BE2:BE4"/>
    <mergeCell ref="BF2:BF4"/>
    <mergeCell ref="U2:U4"/>
    <mergeCell ref="V2:V4"/>
    <mergeCell ref="W2:W4"/>
    <mergeCell ref="Y2:Y4"/>
    <mergeCell ref="AB2:AB4"/>
    <mergeCell ref="AA2:AA4"/>
    <mergeCell ref="X2:X4"/>
    <mergeCell ref="Z2:Z4"/>
    <mergeCell ref="AC2:AC4"/>
    <mergeCell ref="AD2:AD4"/>
    <mergeCell ref="AF2:AF4"/>
    <mergeCell ref="AG2:AG4"/>
    <mergeCell ref="AH2:AH4"/>
    <mergeCell ref="AE2:AE4"/>
    <mergeCell ref="BG2:BG4"/>
    <mergeCell ref="BO2:BO4"/>
    <mergeCell ref="BP2:BP4"/>
    <mergeCell ref="BQ2:BQ4"/>
    <mergeCell ref="BH2:BH4"/>
    <mergeCell ref="BI2:BI4"/>
    <mergeCell ref="BJ2:BJ4"/>
    <mergeCell ref="BK2:BK4"/>
    <mergeCell ref="BL2:BL4"/>
  </mergeCells>
  <phoneticPr fontId="14" type="noConversion"/>
  <pageMargins left="0.51181102362204722" right="0.51181102362204722" top="0.78740157480314965" bottom="0.78740157480314965" header="0.31496062992125984" footer="0.31496062992125984"/>
  <pageSetup paperSize="9" scale="83" fitToWidth="1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36"/>
  <sheetViews>
    <sheetView showGridLines="0" view="pageBreakPreview" topLeftCell="A2" zoomScale="70" zoomScaleNormal="70" zoomScaleSheetLayoutView="70" workbookViewId="0">
      <selection activeCell="C3" sqref="C3:I3"/>
    </sheetView>
  </sheetViews>
  <sheetFormatPr defaultColWidth="8.85546875" defaultRowHeight="15" x14ac:dyDescent="0.25"/>
  <cols>
    <col min="1" max="1" width="2" style="1" customWidth="1"/>
    <col min="2" max="2" width="1.7109375" style="1" customWidth="1"/>
    <col min="3" max="3" width="32.28515625" style="1" customWidth="1"/>
    <col min="4" max="9" width="6.140625" style="1" customWidth="1"/>
    <col min="10" max="10" width="28.28515625" style="2" customWidth="1"/>
    <col min="11" max="11" width="11.7109375" style="1" customWidth="1"/>
    <col min="12" max="12" width="1.7109375" style="1" customWidth="1"/>
    <col min="13" max="13" width="14.28515625" style="5" customWidth="1"/>
    <col min="14" max="14" width="18.7109375" style="1" customWidth="1"/>
    <col min="15" max="15" width="26.28515625" style="1" customWidth="1"/>
    <col min="16" max="16" width="17.28515625" style="1" customWidth="1"/>
    <col min="17" max="17" width="15.7109375" style="1" customWidth="1"/>
    <col min="18" max="23" width="9.140625" style="1"/>
    <col min="24" max="24" width="15" style="1" customWidth="1"/>
    <col min="25" max="242" width="9.140625" style="1"/>
    <col min="243" max="243" width="2" style="1" customWidth="1"/>
    <col min="244" max="244" width="27.7109375" style="1" customWidth="1"/>
    <col min="245" max="245" width="1.7109375" style="1" customWidth="1"/>
    <col min="246" max="246" width="16.140625" style="1" customWidth="1"/>
    <col min="247" max="247" width="17.140625" style="1" customWidth="1"/>
    <col min="248" max="248" width="13" style="1" customWidth="1"/>
    <col min="249" max="249" width="27" style="1" customWidth="1"/>
    <col min="250" max="250" width="11.140625" style="1" customWidth="1"/>
    <col min="251" max="251" width="24.7109375" style="1" customWidth="1"/>
    <col min="252" max="252" width="13.140625" style="1" customWidth="1"/>
    <col min="253" max="253" width="14" style="1" customWidth="1"/>
    <col min="254" max="254" width="17.140625" style="1" customWidth="1"/>
    <col min="255" max="255" width="15.7109375" style="1" customWidth="1"/>
    <col min="256" max="256" width="17.85546875" style="1" customWidth="1"/>
    <col min="257" max="257" width="21.7109375" style="1" customWidth="1"/>
    <col min="258" max="258" width="22.7109375" style="1" customWidth="1"/>
    <col min="259" max="259" width="1.7109375" style="1" customWidth="1"/>
    <col min="260" max="260" width="14.28515625" style="1" customWidth="1"/>
    <col min="261" max="261" width="22.7109375" style="1" customWidth="1"/>
    <col min="262" max="267" width="30.7109375" style="1" customWidth="1"/>
    <col min="268" max="268" width="22.7109375" style="1" customWidth="1"/>
    <col min="269" max="270" width="18.7109375" style="1" customWidth="1"/>
    <col min="271" max="271" width="26.28515625" style="1" customWidth="1"/>
    <col min="272" max="272" width="17.28515625" style="1" customWidth="1"/>
    <col min="273" max="273" width="15.7109375" style="1" customWidth="1"/>
    <col min="274" max="498" width="9.140625" style="1"/>
    <col min="499" max="499" width="2" style="1" customWidth="1"/>
    <col min="500" max="500" width="27.7109375" style="1" customWidth="1"/>
    <col min="501" max="501" width="1.7109375" style="1" customWidth="1"/>
    <col min="502" max="502" width="16.140625" style="1" customWidth="1"/>
    <col min="503" max="503" width="17.140625" style="1" customWidth="1"/>
    <col min="504" max="504" width="13" style="1" customWidth="1"/>
    <col min="505" max="505" width="27" style="1" customWidth="1"/>
    <col min="506" max="506" width="11.140625" style="1" customWidth="1"/>
    <col min="507" max="507" width="24.7109375" style="1" customWidth="1"/>
    <col min="508" max="508" width="13.140625" style="1" customWidth="1"/>
    <col min="509" max="509" width="14" style="1" customWidth="1"/>
    <col min="510" max="510" width="17.140625" style="1" customWidth="1"/>
    <col min="511" max="511" width="15.7109375" style="1" customWidth="1"/>
    <col min="512" max="512" width="17.85546875" style="1" customWidth="1"/>
    <col min="513" max="513" width="21.7109375" style="1" customWidth="1"/>
    <col min="514" max="514" width="22.7109375" style="1" customWidth="1"/>
    <col min="515" max="515" width="1.7109375" style="1" customWidth="1"/>
    <col min="516" max="516" width="14.28515625" style="1" customWidth="1"/>
    <col min="517" max="517" width="22.7109375" style="1" customWidth="1"/>
    <col min="518" max="523" width="30.7109375" style="1" customWidth="1"/>
    <col min="524" max="524" width="22.7109375" style="1" customWidth="1"/>
    <col min="525" max="526" width="18.7109375" style="1" customWidth="1"/>
    <col min="527" max="527" width="26.28515625" style="1" customWidth="1"/>
    <col min="528" max="528" width="17.28515625" style="1" customWidth="1"/>
    <col min="529" max="529" width="15.7109375" style="1" customWidth="1"/>
    <col min="530" max="754" width="9.140625" style="1"/>
    <col min="755" max="755" width="2" style="1" customWidth="1"/>
    <col min="756" max="756" width="27.7109375" style="1" customWidth="1"/>
    <col min="757" max="757" width="1.7109375" style="1" customWidth="1"/>
    <col min="758" max="758" width="16.140625" style="1" customWidth="1"/>
    <col min="759" max="759" width="17.140625" style="1" customWidth="1"/>
    <col min="760" max="760" width="13" style="1" customWidth="1"/>
    <col min="761" max="761" width="27" style="1" customWidth="1"/>
    <col min="762" max="762" width="11.140625" style="1" customWidth="1"/>
    <col min="763" max="763" width="24.7109375" style="1" customWidth="1"/>
    <col min="764" max="764" width="13.140625" style="1" customWidth="1"/>
    <col min="765" max="765" width="14" style="1" customWidth="1"/>
    <col min="766" max="766" width="17.140625" style="1" customWidth="1"/>
    <col min="767" max="767" width="15.7109375" style="1" customWidth="1"/>
    <col min="768" max="768" width="17.85546875" style="1" customWidth="1"/>
    <col min="769" max="769" width="21.7109375" style="1" customWidth="1"/>
    <col min="770" max="770" width="22.7109375" style="1" customWidth="1"/>
    <col min="771" max="771" width="1.7109375" style="1" customWidth="1"/>
    <col min="772" max="772" width="14.28515625" style="1" customWidth="1"/>
    <col min="773" max="773" width="22.7109375" style="1" customWidth="1"/>
    <col min="774" max="779" width="30.7109375" style="1" customWidth="1"/>
    <col min="780" max="780" width="22.7109375" style="1" customWidth="1"/>
    <col min="781" max="782" width="18.7109375" style="1" customWidth="1"/>
    <col min="783" max="783" width="26.28515625" style="1" customWidth="1"/>
    <col min="784" max="784" width="17.28515625" style="1" customWidth="1"/>
    <col min="785" max="785" width="15.7109375" style="1" customWidth="1"/>
    <col min="786" max="1010" width="9.140625" style="1"/>
    <col min="1011" max="1011" width="2" style="1" customWidth="1"/>
    <col min="1012" max="1012" width="27.7109375" style="1" customWidth="1"/>
    <col min="1013" max="1013" width="1.7109375" style="1" customWidth="1"/>
    <col min="1014" max="1014" width="16.140625" style="1" customWidth="1"/>
    <col min="1015" max="1015" width="17.140625" style="1" customWidth="1"/>
    <col min="1016" max="1016" width="13" style="1" customWidth="1"/>
    <col min="1017" max="1017" width="27" style="1" customWidth="1"/>
    <col min="1018" max="1018" width="11.140625" style="1" customWidth="1"/>
    <col min="1019" max="1019" width="24.7109375" style="1" customWidth="1"/>
    <col min="1020" max="1020" width="13.140625" style="1" customWidth="1"/>
    <col min="1021" max="1021" width="14" style="1" customWidth="1"/>
    <col min="1022" max="1022" width="17.140625" style="1" customWidth="1"/>
    <col min="1023" max="1023" width="15.7109375" style="1" customWidth="1"/>
    <col min="1024" max="1024" width="17.85546875" style="1" customWidth="1"/>
    <col min="1025" max="1025" width="21.7109375" style="1" customWidth="1"/>
    <col min="1026" max="1026" width="22.7109375" style="1" customWidth="1"/>
    <col min="1027" max="1027" width="1.7109375" style="1" customWidth="1"/>
    <col min="1028" max="1028" width="14.28515625" style="1" customWidth="1"/>
    <col min="1029" max="1029" width="22.7109375" style="1" customWidth="1"/>
    <col min="1030" max="1035" width="30.7109375" style="1" customWidth="1"/>
    <col min="1036" max="1036" width="22.7109375" style="1" customWidth="1"/>
    <col min="1037" max="1038" width="18.7109375" style="1" customWidth="1"/>
    <col min="1039" max="1039" width="26.28515625" style="1" customWidth="1"/>
    <col min="1040" max="1040" width="17.28515625" style="1" customWidth="1"/>
    <col min="1041" max="1041" width="15.7109375" style="1" customWidth="1"/>
    <col min="1042" max="1266" width="9.140625" style="1"/>
    <col min="1267" max="1267" width="2" style="1" customWidth="1"/>
    <col min="1268" max="1268" width="27.7109375" style="1" customWidth="1"/>
    <col min="1269" max="1269" width="1.7109375" style="1" customWidth="1"/>
    <col min="1270" max="1270" width="16.140625" style="1" customWidth="1"/>
    <col min="1271" max="1271" width="17.140625" style="1" customWidth="1"/>
    <col min="1272" max="1272" width="13" style="1" customWidth="1"/>
    <col min="1273" max="1273" width="27" style="1" customWidth="1"/>
    <col min="1274" max="1274" width="11.140625" style="1" customWidth="1"/>
    <col min="1275" max="1275" width="24.7109375" style="1" customWidth="1"/>
    <col min="1276" max="1276" width="13.140625" style="1" customWidth="1"/>
    <col min="1277" max="1277" width="14" style="1" customWidth="1"/>
    <col min="1278" max="1278" width="17.140625" style="1" customWidth="1"/>
    <col min="1279" max="1279" width="15.7109375" style="1" customWidth="1"/>
    <col min="1280" max="1280" width="17.85546875" style="1" customWidth="1"/>
    <col min="1281" max="1281" width="21.7109375" style="1" customWidth="1"/>
    <col min="1282" max="1282" width="22.7109375" style="1" customWidth="1"/>
    <col min="1283" max="1283" width="1.7109375" style="1" customWidth="1"/>
    <col min="1284" max="1284" width="14.28515625" style="1" customWidth="1"/>
    <col min="1285" max="1285" width="22.7109375" style="1" customWidth="1"/>
    <col min="1286" max="1291" width="30.7109375" style="1" customWidth="1"/>
    <col min="1292" max="1292" width="22.7109375" style="1" customWidth="1"/>
    <col min="1293" max="1294" width="18.7109375" style="1" customWidth="1"/>
    <col min="1295" max="1295" width="26.28515625" style="1" customWidth="1"/>
    <col min="1296" max="1296" width="17.28515625" style="1" customWidth="1"/>
    <col min="1297" max="1297" width="15.7109375" style="1" customWidth="1"/>
    <col min="1298" max="1522" width="9.140625" style="1"/>
    <col min="1523" max="1523" width="2" style="1" customWidth="1"/>
    <col min="1524" max="1524" width="27.7109375" style="1" customWidth="1"/>
    <col min="1525" max="1525" width="1.7109375" style="1" customWidth="1"/>
    <col min="1526" max="1526" width="16.140625" style="1" customWidth="1"/>
    <col min="1527" max="1527" width="17.140625" style="1" customWidth="1"/>
    <col min="1528" max="1528" width="13" style="1" customWidth="1"/>
    <col min="1529" max="1529" width="27" style="1" customWidth="1"/>
    <col min="1530" max="1530" width="11.140625" style="1" customWidth="1"/>
    <col min="1531" max="1531" width="24.7109375" style="1" customWidth="1"/>
    <col min="1532" max="1532" width="13.140625" style="1" customWidth="1"/>
    <col min="1533" max="1533" width="14" style="1" customWidth="1"/>
    <col min="1534" max="1534" width="17.140625" style="1" customWidth="1"/>
    <col min="1535" max="1535" width="15.7109375" style="1" customWidth="1"/>
    <col min="1536" max="1536" width="17.85546875" style="1" customWidth="1"/>
    <col min="1537" max="1537" width="21.7109375" style="1" customWidth="1"/>
    <col min="1538" max="1538" width="22.7109375" style="1" customWidth="1"/>
    <col min="1539" max="1539" width="1.7109375" style="1" customWidth="1"/>
    <col min="1540" max="1540" width="14.28515625" style="1" customWidth="1"/>
    <col min="1541" max="1541" width="22.7109375" style="1" customWidth="1"/>
    <col min="1542" max="1547" width="30.7109375" style="1" customWidth="1"/>
    <col min="1548" max="1548" width="22.7109375" style="1" customWidth="1"/>
    <col min="1549" max="1550" width="18.7109375" style="1" customWidth="1"/>
    <col min="1551" max="1551" width="26.28515625" style="1" customWidth="1"/>
    <col min="1552" max="1552" width="17.28515625" style="1" customWidth="1"/>
    <col min="1553" max="1553" width="15.7109375" style="1" customWidth="1"/>
    <col min="1554" max="1778" width="9.140625" style="1"/>
    <col min="1779" max="1779" width="2" style="1" customWidth="1"/>
    <col min="1780" max="1780" width="27.7109375" style="1" customWidth="1"/>
    <col min="1781" max="1781" width="1.7109375" style="1" customWidth="1"/>
    <col min="1782" max="1782" width="16.140625" style="1" customWidth="1"/>
    <col min="1783" max="1783" width="17.140625" style="1" customWidth="1"/>
    <col min="1784" max="1784" width="13" style="1" customWidth="1"/>
    <col min="1785" max="1785" width="27" style="1" customWidth="1"/>
    <col min="1786" max="1786" width="11.140625" style="1" customWidth="1"/>
    <col min="1787" max="1787" width="24.7109375" style="1" customWidth="1"/>
    <col min="1788" max="1788" width="13.140625" style="1" customWidth="1"/>
    <col min="1789" max="1789" width="14" style="1" customWidth="1"/>
    <col min="1790" max="1790" width="17.140625" style="1" customWidth="1"/>
    <col min="1791" max="1791" width="15.7109375" style="1" customWidth="1"/>
    <col min="1792" max="1792" width="17.85546875" style="1" customWidth="1"/>
    <col min="1793" max="1793" width="21.7109375" style="1" customWidth="1"/>
    <col min="1794" max="1794" width="22.7109375" style="1" customWidth="1"/>
    <col min="1795" max="1795" width="1.7109375" style="1" customWidth="1"/>
    <col min="1796" max="1796" width="14.28515625" style="1" customWidth="1"/>
    <col min="1797" max="1797" width="22.7109375" style="1" customWidth="1"/>
    <col min="1798" max="1803" width="30.7109375" style="1" customWidth="1"/>
    <col min="1804" max="1804" width="22.7109375" style="1" customWidth="1"/>
    <col min="1805" max="1806" width="18.7109375" style="1" customWidth="1"/>
    <col min="1807" max="1807" width="26.28515625" style="1" customWidth="1"/>
    <col min="1808" max="1808" width="17.28515625" style="1" customWidth="1"/>
    <col min="1809" max="1809" width="15.7109375" style="1" customWidth="1"/>
    <col min="1810" max="2034" width="9.140625" style="1"/>
    <col min="2035" max="2035" width="2" style="1" customWidth="1"/>
    <col min="2036" max="2036" width="27.7109375" style="1" customWidth="1"/>
    <col min="2037" max="2037" width="1.7109375" style="1" customWidth="1"/>
    <col min="2038" max="2038" width="16.140625" style="1" customWidth="1"/>
    <col min="2039" max="2039" width="17.140625" style="1" customWidth="1"/>
    <col min="2040" max="2040" width="13" style="1" customWidth="1"/>
    <col min="2041" max="2041" width="27" style="1" customWidth="1"/>
    <col min="2042" max="2042" width="11.140625" style="1" customWidth="1"/>
    <col min="2043" max="2043" width="24.7109375" style="1" customWidth="1"/>
    <col min="2044" max="2044" width="13.140625" style="1" customWidth="1"/>
    <col min="2045" max="2045" width="14" style="1" customWidth="1"/>
    <col min="2046" max="2046" width="17.140625" style="1" customWidth="1"/>
    <col min="2047" max="2047" width="15.7109375" style="1" customWidth="1"/>
    <col min="2048" max="2048" width="17.85546875" style="1" customWidth="1"/>
    <col min="2049" max="2049" width="21.7109375" style="1" customWidth="1"/>
    <col min="2050" max="2050" width="22.7109375" style="1" customWidth="1"/>
    <col min="2051" max="2051" width="1.7109375" style="1" customWidth="1"/>
    <col min="2052" max="2052" width="14.28515625" style="1" customWidth="1"/>
    <col min="2053" max="2053" width="22.7109375" style="1" customWidth="1"/>
    <col min="2054" max="2059" width="30.7109375" style="1" customWidth="1"/>
    <col min="2060" max="2060" width="22.7109375" style="1" customWidth="1"/>
    <col min="2061" max="2062" width="18.7109375" style="1" customWidth="1"/>
    <col min="2063" max="2063" width="26.28515625" style="1" customWidth="1"/>
    <col min="2064" max="2064" width="17.28515625" style="1" customWidth="1"/>
    <col min="2065" max="2065" width="15.7109375" style="1" customWidth="1"/>
    <col min="2066" max="2290" width="9.140625" style="1"/>
    <col min="2291" max="2291" width="2" style="1" customWidth="1"/>
    <col min="2292" max="2292" width="27.7109375" style="1" customWidth="1"/>
    <col min="2293" max="2293" width="1.7109375" style="1" customWidth="1"/>
    <col min="2294" max="2294" width="16.140625" style="1" customWidth="1"/>
    <col min="2295" max="2295" width="17.140625" style="1" customWidth="1"/>
    <col min="2296" max="2296" width="13" style="1" customWidth="1"/>
    <col min="2297" max="2297" width="27" style="1" customWidth="1"/>
    <col min="2298" max="2298" width="11.140625" style="1" customWidth="1"/>
    <col min="2299" max="2299" width="24.7109375" style="1" customWidth="1"/>
    <col min="2300" max="2300" width="13.140625" style="1" customWidth="1"/>
    <col min="2301" max="2301" width="14" style="1" customWidth="1"/>
    <col min="2302" max="2302" width="17.140625" style="1" customWidth="1"/>
    <col min="2303" max="2303" width="15.7109375" style="1" customWidth="1"/>
    <col min="2304" max="2304" width="17.85546875" style="1" customWidth="1"/>
    <col min="2305" max="2305" width="21.7109375" style="1" customWidth="1"/>
    <col min="2306" max="2306" width="22.7109375" style="1" customWidth="1"/>
    <col min="2307" max="2307" width="1.7109375" style="1" customWidth="1"/>
    <col min="2308" max="2308" width="14.28515625" style="1" customWidth="1"/>
    <col min="2309" max="2309" width="22.7109375" style="1" customWidth="1"/>
    <col min="2310" max="2315" width="30.7109375" style="1" customWidth="1"/>
    <col min="2316" max="2316" width="22.7109375" style="1" customWidth="1"/>
    <col min="2317" max="2318" width="18.7109375" style="1" customWidth="1"/>
    <col min="2319" max="2319" width="26.28515625" style="1" customWidth="1"/>
    <col min="2320" max="2320" width="17.28515625" style="1" customWidth="1"/>
    <col min="2321" max="2321" width="15.7109375" style="1" customWidth="1"/>
    <col min="2322" max="2546" width="9.140625" style="1"/>
    <col min="2547" max="2547" width="2" style="1" customWidth="1"/>
    <col min="2548" max="2548" width="27.7109375" style="1" customWidth="1"/>
    <col min="2549" max="2549" width="1.7109375" style="1" customWidth="1"/>
    <col min="2550" max="2550" width="16.140625" style="1" customWidth="1"/>
    <col min="2551" max="2551" width="17.140625" style="1" customWidth="1"/>
    <col min="2552" max="2552" width="13" style="1" customWidth="1"/>
    <col min="2553" max="2553" width="27" style="1" customWidth="1"/>
    <col min="2554" max="2554" width="11.140625" style="1" customWidth="1"/>
    <col min="2555" max="2555" width="24.7109375" style="1" customWidth="1"/>
    <col min="2556" max="2556" width="13.140625" style="1" customWidth="1"/>
    <col min="2557" max="2557" width="14" style="1" customWidth="1"/>
    <col min="2558" max="2558" width="17.140625" style="1" customWidth="1"/>
    <col min="2559" max="2559" width="15.7109375" style="1" customWidth="1"/>
    <col min="2560" max="2560" width="17.85546875" style="1" customWidth="1"/>
    <col min="2561" max="2561" width="21.7109375" style="1" customWidth="1"/>
    <col min="2562" max="2562" width="22.7109375" style="1" customWidth="1"/>
    <col min="2563" max="2563" width="1.7109375" style="1" customWidth="1"/>
    <col min="2564" max="2564" width="14.28515625" style="1" customWidth="1"/>
    <col min="2565" max="2565" width="22.7109375" style="1" customWidth="1"/>
    <col min="2566" max="2571" width="30.7109375" style="1" customWidth="1"/>
    <col min="2572" max="2572" width="22.7109375" style="1" customWidth="1"/>
    <col min="2573" max="2574" width="18.7109375" style="1" customWidth="1"/>
    <col min="2575" max="2575" width="26.28515625" style="1" customWidth="1"/>
    <col min="2576" max="2576" width="17.28515625" style="1" customWidth="1"/>
    <col min="2577" max="2577" width="15.7109375" style="1" customWidth="1"/>
    <col min="2578" max="2802" width="9.140625" style="1"/>
    <col min="2803" max="2803" width="2" style="1" customWidth="1"/>
    <col min="2804" max="2804" width="27.7109375" style="1" customWidth="1"/>
    <col min="2805" max="2805" width="1.7109375" style="1" customWidth="1"/>
    <col min="2806" max="2806" width="16.140625" style="1" customWidth="1"/>
    <col min="2807" max="2807" width="17.140625" style="1" customWidth="1"/>
    <col min="2808" max="2808" width="13" style="1" customWidth="1"/>
    <col min="2809" max="2809" width="27" style="1" customWidth="1"/>
    <col min="2810" max="2810" width="11.140625" style="1" customWidth="1"/>
    <col min="2811" max="2811" width="24.7109375" style="1" customWidth="1"/>
    <col min="2812" max="2812" width="13.140625" style="1" customWidth="1"/>
    <col min="2813" max="2813" width="14" style="1" customWidth="1"/>
    <col min="2814" max="2814" width="17.140625" style="1" customWidth="1"/>
    <col min="2815" max="2815" width="15.7109375" style="1" customWidth="1"/>
    <col min="2816" max="2816" width="17.85546875" style="1" customWidth="1"/>
    <col min="2817" max="2817" width="21.7109375" style="1" customWidth="1"/>
    <col min="2818" max="2818" width="22.7109375" style="1" customWidth="1"/>
    <col min="2819" max="2819" width="1.7109375" style="1" customWidth="1"/>
    <col min="2820" max="2820" width="14.28515625" style="1" customWidth="1"/>
    <col min="2821" max="2821" width="22.7109375" style="1" customWidth="1"/>
    <col min="2822" max="2827" width="30.7109375" style="1" customWidth="1"/>
    <col min="2828" max="2828" width="22.7109375" style="1" customWidth="1"/>
    <col min="2829" max="2830" width="18.7109375" style="1" customWidth="1"/>
    <col min="2831" max="2831" width="26.28515625" style="1" customWidth="1"/>
    <col min="2832" max="2832" width="17.28515625" style="1" customWidth="1"/>
    <col min="2833" max="2833" width="15.7109375" style="1" customWidth="1"/>
    <col min="2834" max="3058" width="9.140625" style="1"/>
    <col min="3059" max="3059" width="2" style="1" customWidth="1"/>
    <col min="3060" max="3060" width="27.7109375" style="1" customWidth="1"/>
    <col min="3061" max="3061" width="1.7109375" style="1" customWidth="1"/>
    <col min="3062" max="3062" width="16.140625" style="1" customWidth="1"/>
    <col min="3063" max="3063" width="17.140625" style="1" customWidth="1"/>
    <col min="3064" max="3064" width="13" style="1" customWidth="1"/>
    <col min="3065" max="3065" width="27" style="1" customWidth="1"/>
    <col min="3066" max="3066" width="11.140625" style="1" customWidth="1"/>
    <col min="3067" max="3067" width="24.7109375" style="1" customWidth="1"/>
    <col min="3068" max="3068" width="13.140625" style="1" customWidth="1"/>
    <col min="3069" max="3069" width="14" style="1" customWidth="1"/>
    <col min="3070" max="3070" width="17.140625" style="1" customWidth="1"/>
    <col min="3071" max="3071" width="15.7109375" style="1" customWidth="1"/>
    <col min="3072" max="3072" width="17.85546875" style="1" customWidth="1"/>
    <col min="3073" max="3073" width="21.7109375" style="1" customWidth="1"/>
    <col min="3074" max="3074" width="22.7109375" style="1" customWidth="1"/>
    <col min="3075" max="3075" width="1.7109375" style="1" customWidth="1"/>
    <col min="3076" max="3076" width="14.28515625" style="1" customWidth="1"/>
    <col min="3077" max="3077" width="22.7109375" style="1" customWidth="1"/>
    <col min="3078" max="3083" width="30.7109375" style="1" customWidth="1"/>
    <col min="3084" max="3084" width="22.7109375" style="1" customWidth="1"/>
    <col min="3085" max="3086" width="18.7109375" style="1" customWidth="1"/>
    <col min="3087" max="3087" width="26.28515625" style="1" customWidth="1"/>
    <col min="3088" max="3088" width="17.28515625" style="1" customWidth="1"/>
    <col min="3089" max="3089" width="15.7109375" style="1" customWidth="1"/>
    <col min="3090" max="3314" width="9.140625" style="1"/>
    <col min="3315" max="3315" width="2" style="1" customWidth="1"/>
    <col min="3316" max="3316" width="27.7109375" style="1" customWidth="1"/>
    <col min="3317" max="3317" width="1.7109375" style="1" customWidth="1"/>
    <col min="3318" max="3318" width="16.140625" style="1" customWidth="1"/>
    <col min="3319" max="3319" width="17.140625" style="1" customWidth="1"/>
    <col min="3320" max="3320" width="13" style="1" customWidth="1"/>
    <col min="3321" max="3321" width="27" style="1" customWidth="1"/>
    <col min="3322" max="3322" width="11.140625" style="1" customWidth="1"/>
    <col min="3323" max="3323" width="24.7109375" style="1" customWidth="1"/>
    <col min="3324" max="3324" width="13.140625" style="1" customWidth="1"/>
    <col min="3325" max="3325" width="14" style="1" customWidth="1"/>
    <col min="3326" max="3326" width="17.140625" style="1" customWidth="1"/>
    <col min="3327" max="3327" width="15.7109375" style="1" customWidth="1"/>
    <col min="3328" max="3328" width="17.85546875" style="1" customWidth="1"/>
    <col min="3329" max="3329" width="21.7109375" style="1" customWidth="1"/>
    <col min="3330" max="3330" width="22.7109375" style="1" customWidth="1"/>
    <col min="3331" max="3331" width="1.7109375" style="1" customWidth="1"/>
    <col min="3332" max="3332" width="14.28515625" style="1" customWidth="1"/>
    <col min="3333" max="3333" width="22.7109375" style="1" customWidth="1"/>
    <col min="3334" max="3339" width="30.7109375" style="1" customWidth="1"/>
    <col min="3340" max="3340" width="22.7109375" style="1" customWidth="1"/>
    <col min="3341" max="3342" width="18.7109375" style="1" customWidth="1"/>
    <col min="3343" max="3343" width="26.28515625" style="1" customWidth="1"/>
    <col min="3344" max="3344" width="17.28515625" style="1" customWidth="1"/>
    <col min="3345" max="3345" width="15.7109375" style="1" customWidth="1"/>
    <col min="3346" max="3570" width="9.140625" style="1"/>
    <col min="3571" max="3571" width="2" style="1" customWidth="1"/>
    <col min="3572" max="3572" width="27.7109375" style="1" customWidth="1"/>
    <col min="3573" max="3573" width="1.7109375" style="1" customWidth="1"/>
    <col min="3574" max="3574" width="16.140625" style="1" customWidth="1"/>
    <col min="3575" max="3575" width="17.140625" style="1" customWidth="1"/>
    <col min="3576" max="3576" width="13" style="1" customWidth="1"/>
    <col min="3577" max="3577" width="27" style="1" customWidth="1"/>
    <col min="3578" max="3578" width="11.140625" style="1" customWidth="1"/>
    <col min="3579" max="3579" width="24.7109375" style="1" customWidth="1"/>
    <col min="3580" max="3580" width="13.140625" style="1" customWidth="1"/>
    <col min="3581" max="3581" width="14" style="1" customWidth="1"/>
    <col min="3582" max="3582" width="17.140625" style="1" customWidth="1"/>
    <col min="3583" max="3583" width="15.7109375" style="1" customWidth="1"/>
    <col min="3584" max="3584" width="17.85546875" style="1" customWidth="1"/>
    <col min="3585" max="3585" width="21.7109375" style="1" customWidth="1"/>
    <col min="3586" max="3586" width="22.7109375" style="1" customWidth="1"/>
    <col min="3587" max="3587" width="1.7109375" style="1" customWidth="1"/>
    <col min="3588" max="3588" width="14.28515625" style="1" customWidth="1"/>
    <col min="3589" max="3589" width="22.7109375" style="1" customWidth="1"/>
    <col min="3590" max="3595" width="30.7109375" style="1" customWidth="1"/>
    <col min="3596" max="3596" width="22.7109375" style="1" customWidth="1"/>
    <col min="3597" max="3598" width="18.7109375" style="1" customWidth="1"/>
    <col min="3599" max="3599" width="26.28515625" style="1" customWidth="1"/>
    <col min="3600" max="3600" width="17.28515625" style="1" customWidth="1"/>
    <col min="3601" max="3601" width="15.7109375" style="1" customWidth="1"/>
    <col min="3602" max="3826" width="9.140625" style="1"/>
    <col min="3827" max="3827" width="2" style="1" customWidth="1"/>
    <col min="3828" max="3828" width="27.7109375" style="1" customWidth="1"/>
    <col min="3829" max="3829" width="1.7109375" style="1" customWidth="1"/>
    <col min="3830" max="3830" width="16.140625" style="1" customWidth="1"/>
    <col min="3831" max="3831" width="17.140625" style="1" customWidth="1"/>
    <col min="3832" max="3832" width="13" style="1" customWidth="1"/>
    <col min="3833" max="3833" width="27" style="1" customWidth="1"/>
    <col min="3834" max="3834" width="11.140625" style="1" customWidth="1"/>
    <col min="3835" max="3835" width="24.7109375" style="1" customWidth="1"/>
    <col min="3836" max="3836" width="13.140625" style="1" customWidth="1"/>
    <col min="3837" max="3837" width="14" style="1" customWidth="1"/>
    <col min="3838" max="3838" width="17.140625" style="1" customWidth="1"/>
    <col min="3839" max="3839" width="15.7109375" style="1" customWidth="1"/>
    <col min="3840" max="3840" width="17.85546875" style="1" customWidth="1"/>
    <col min="3841" max="3841" width="21.7109375" style="1" customWidth="1"/>
    <col min="3842" max="3842" width="22.7109375" style="1" customWidth="1"/>
    <col min="3843" max="3843" width="1.7109375" style="1" customWidth="1"/>
    <col min="3844" max="3844" width="14.28515625" style="1" customWidth="1"/>
    <col min="3845" max="3845" width="22.7109375" style="1" customWidth="1"/>
    <col min="3846" max="3851" width="30.7109375" style="1" customWidth="1"/>
    <col min="3852" max="3852" width="22.7109375" style="1" customWidth="1"/>
    <col min="3853" max="3854" width="18.7109375" style="1" customWidth="1"/>
    <col min="3855" max="3855" width="26.28515625" style="1" customWidth="1"/>
    <col min="3856" max="3856" width="17.28515625" style="1" customWidth="1"/>
    <col min="3857" max="3857" width="15.7109375" style="1" customWidth="1"/>
    <col min="3858" max="4082" width="9.140625" style="1"/>
    <col min="4083" max="4083" width="2" style="1" customWidth="1"/>
    <col min="4084" max="4084" width="27.7109375" style="1" customWidth="1"/>
    <col min="4085" max="4085" width="1.7109375" style="1" customWidth="1"/>
    <col min="4086" max="4086" width="16.140625" style="1" customWidth="1"/>
    <col min="4087" max="4087" width="17.140625" style="1" customWidth="1"/>
    <col min="4088" max="4088" width="13" style="1" customWidth="1"/>
    <col min="4089" max="4089" width="27" style="1" customWidth="1"/>
    <col min="4090" max="4090" width="11.140625" style="1" customWidth="1"/>
    <col min="4091" max="4091" width="24.7109375" style="1" customWidth="1"/>
    <col min="4092" max="4092" width="13.140625" style="1" customWidth="1"/>
    <col min="4093" max="4093" width="14" style="1" customWidth="1"/>
    <col min="4094" max="4094" width="17.140625" style="1" customWidth="1"/>
    <col min="4095" max="4095" width="15.7109375" style="1" customWidth="1"/>
    <col min="4096" max="4096" width="17.85546875" style="1" customWidth="1"/>
    <col min="4097" max="4097" width="21.7109375" style="1" customWidth="1"/>
    <col min="4098" max="4098" width="22.7109375" style="1" customWidth="1"/>
    <col min="4099" max="4099" width="1.7109375" style="1" customWidth="1"/>
    <col min="4100" max="4100" width="14.28515625" style="1" customWidth="1"/>
    <col min="4101" max="4101" width="22.7109375" style="1" customWidth="1"/>
    <col min="4102" max="4107" width="30.7109375" style="1" customWidth="1"/>
    <col min="4108" max="4108" width="22.7109375" style="1" customWidth="1"/>
    <col min="4109" max="4110" width="18.7109375" style="1" customWidth="1"/>
    <col min="4111" max="4111" width="26.28515625" style="1" customWidth="1"/>
    <col min="4112" max="4112" width="17.28515625" style="1" customWidth="1"/>
    <col min="4113" max="4113" width="15.7109375" style="1" customWidth="1"/>
    <col min="4114" max="4338" width="9.140625" style="1"/>
    <col min="4339" max="4339" width="2" style="1" customWidth="1"/>
    <col min="4340" max="4340" width="27.7109375" style="1" customWidth="1"/>
    <col min="4341" max="4341" width="1.7109375" style="1" customWidth="1"/>
    <col min="4342" max="4342" width="16.140625" style="1" customWidth="1"/>
    <col min="4343" max="4343" width="17.140625" style="1" customWidth="1"/>
    <col min="4344" max="4344" width="13" style="1" customWidth="1"/>
    <col min="4345" max="4345" width="27" style="1" customWidth="1"/>
    <col min="4346" max="4346" width="11.140625" style="1" customWidth="1"/>
    <col min="4347" max="4347" width="24.7109375" style="1" customWidth="1"/>
    <col min="4348" max="4348" width="13.140625" style="1" customWidth="1"/>
    <col min="4349" max="4349" width="14" style="1" customWidth="1"/>
    <col min="4350" max="4350" width="17.140625" style="1" customWidth="1"/>
    <col min="4351" max="4351" width="15.7109375" style="1" customWidth="1"/>
    <col min="4352" max="4352" width="17.85546875" style="1" customWidth="1"/>
    <col min="4353" max="4353" width="21.7109375" style="1" customWidth="1"/>
    <col min="4354" max="4354" width="22.7109375" style="1" customWidth="1"/>
    <col min="4355" max="4355" width="1.7109375" style="1" customWidth="1"/>
    <col min="4356" max="4356" width="14.28515625" style="1" customWidth="1"/>
    <col min="4357" max="4357" width="22.7109375" style="1" customWidth="1"/>
    <col min="4358" max="4363" width="30.7109375" style="1" customWidth="1"/>
    <col min="4364" max="4364" width="22.7109375" style="1" customWidth="1"/>
    <col min="4365" max="4366" width="18.7109375" style="1" customWidth="1"/>
    <col min="4367" max="4367" width="26.28515625" style="1" customWidth="1"/>
    <col min="4368" max="4368" width="17.28515625" style="1" customWidth="1"/>
    <col min="4369" max="4369" width="15.7109375" style="1" customWidth="1"/>
    <col min="4370" max="4594" width="9.140625" style="1"/>
    <col min="4595" max="4595" width="2" style="1" customWidth="1"/>
    <col min="4596" max="4596" width="27.7109375" style="1" customWidth="1"/>
    <col min="4597" max="4597" width="1.7109375" style="1" customWidth="1"/>
    <col min="4598" max="4598" width="16.140625" style="1" customWidth="1"/>
    <col min="4599" max="4599" width="17.140625" style="1" customWidth="1"/>
    <col min="4600" max="4600" width="13" style="1" customWidth="1"/>
    <col min="4601" max="4601" width="27" style="1" customWidth="1"/>
    <col min="4602" max="4602" width="11.140625" style="1" customWidth="1"/>
    <col min="4603" max="4603" width="24.7109375" style="1" customWidth="1"/>
    <col min="4604" max="4604" width="13.140625" style="1" customWidth="1"/>
    <col min="4605" max="4605" width="14" style="1" customWidth="1"/>
    <col min="4606" max="4606" width="17.140625" style="1" customWidth="1"/>
    <col min="4607" max="4607" width="15.7109375" style="1" customWidth="1"/>
    <col min="4608" max="4608" width="17.85546875" style="1" customWidth="1"/>
    <col min="4609" max="4609" width="21.7109375" style="1" customWidth="1"/>
    <col min="4610" max="4610" width="22.7109375" style="1" customWidth="1"/>
    <col min="4611" max="4611" width="1.7109375" style="1" customWidth="1"/>
    <col min="4612" max="4612" width="14.28515625" style="1" customWidth="1"/>
    <col min="4613" max="4613" width="22.7109375" style="1" customWidth="1"/>
    <col min="4614" max="4619" width="30.7109375" style="1" customWidth="1"/>
    <col min="4620" max="4620" width="22.7109375" style="1" customWidth="1"/>
    <col min="4621" max="4622" width="18.7109375" style="1" customWidth="1"/>
    <col min="4623" max="4623" width="26.28515625" style="1" customWidth="1"/>
    <col min="4624" max="4624" width="17.28515625" style="1" customWidth="1"/>
    <col min="4625" max="4625" width="15.7109375" style="1" customWidth="1"/>
    <col min="4626" max="4850" width="9.140625" style="1"/>
    <col min="4851" max="4851" width="2" style="1" customWidth="1"/>
    <col min="4852" max="4852" width="27.7109375" style="1" customWidth="1"/>
    <col min="4853" max="4853" width="1.7109375" style="1" customWidth="1"/>
    <col min="4854" max="4854" width="16.140625" style="1" customWidth="1"/>
    <col min="4855" max="4855" width="17.140625" style="1" customWidth="1"/>
    <col min="4856" max="4856" width="13" style="1" customWidth="1"/>
    <col min="4857" max="4857" width="27" style="1" customWidth="1"/>
    <col min="4858" max="4858" width="11.140625" style="1" customWidth="1"/>
    <col min="4859" max="4859" width="24.7109375" style="1" customWidth="1"/>
    <col min="4860" max="4860" width="13.140625" style="1" customWidth="1"/>
    <col min="4861" max="4861" width="14" style="1" customWidth="1"/>
    <col min="4862" max="4862" width="17.140625" style="1" customWidth="1"/>
    <col min="4863" max="4863" width="15.7109375" style="1" customWidth="1"/>
    <col min="4864" max="4864" width="17.85546875" style="1" customWidth="1"/>
    <col min="4865" max="4865" width="21.7109375" style="1" customWidth="1"/>
    <col min="4866" max="4866" width="22.7109375" style="1" customWidth="1"/>
    <col min="4867" max="4867" width="1.7109375" style="1" customWidth="1"/>
    <col min="4868" max="4868" width="14.28515625" style="1" customWidth="1"/>
    <col min="4869" max="4869" width="22.7109375" style="1" customWidth="1"/>
    <col min="4870" max="4875" width="30.7109375" style="1" customWidth="1"/>
    <col min="4876" max="4876" width="22.7109375" style="1" customWidth="1"/>
    <col min="4877" max="4878" width="18.7109375" style="1" customWidth="1"/>
    <col min="4879" max="4879" width="26.28515625" style="1" customWidth="1"/>
    <col min="4880" max="4880" width="17.28515625" style="1" customWidth="1"/>
    <col min="4881" max="4881" width="15.7109375" style="1" customWidth="1"/>
    <col min="4882" max="5106" width="9.140625" style="1"/>
    <col min="5107" max="5107" width="2" style="1" customWidth="1"/>
    <col min="5108" max="5108" width="27.7109375" style="1" customWidth="1"/>
    <col min="5109" max="5109" width="1.7109375" style="1" customWidth="1"/>
    <col min="5110" max="5110" width="16.140625" style="1" customWidth="1"/>
    <col min="5111" max="5111" width="17.140625" style="1" customWidth="1"/>
    <col min="5112" max="5112" width="13" style="1" customWidth="1"/>
    <col min="5113" max="5113" width="27" style="1" customWidth="1"/>
    <col min="5114" max="5114" width="11.140625" style="1" customWidth="1"/>
    <col min="5115" max="5115" width="24.7109375" style="1" customWidth="1"/>
    <col min="5116" max="5116" width="13.140625" style="1" customWidth="1"/>
    <col min="5117" max="5117" width="14" style="1" customWidth="1"/>
    <col min="5118" max="5118" width="17.140625" style="1" customWidth="1"/>
    <col min="5119" max="5119" width="15.7109375" style="1" customWidth="1"/>
    <col min="5120" max="5120" width="17.85546875" style="1" customWidth="1"/>
    <col min="5121" max="5121" width="21.7109375" style="1" customWidth="1"/>
    <col min="5122" max="5122" width="22.7109375" style="1" customWidth="1"/>
    <col min="5123" max="5123" width="1.7109375" style="1" customWidth="1"/>
    <col min="5124" max="5124" width="14.28515625" style="1" customWidth="1"/>
    <col min="5125" max="5125" width="22.7109375" style="1" customWidth="1"/>
    <col min="5126" max="5131" width="30.7109375" style="1" customWidth="1"/>
    <col min="5132" max="5132" width="22.7109375" style="1" customWidth="1"/>
    <col min="5133" max="5134" width="18.7109375" style="1" customWidth="1"/>
    <col min="5135" max="5135" width="26.28515625" style="1" customWidth="1"/>
    <col min="5136" max="5136" width="17.28515625" style="1" customWidth="1"/>
    <col min="5137" max="5137" width="15.7109375" style="1" customWidth="1"/>
    <col min="5138" max="5362" width="9.140625" style="1"/>
    <col min="5363" max="5363" width="2" style="1" customWidth="1"/>
    <col min="5364" max="5364" width="27.7109375" style="1" customWidth="1"/>
    <col min="5365" max="5365" width="1.7109375" style="1" customWidth="1"/>
    <col min="5366" max="5366" width="16.140625" style="1" customWidth="1"/>
    <col min="5367" max="5367" width="17.140625" style="1" customWidth="1"/>
    <col min="5368" max="5368" width="13" style="1" customWidth="1"/>
    <col min="5369" max="5369" width="27" style="1" customWidth="1"/>
    <col min="5370" max="5370" width="11.140625" style="1" customWidth="1"/>
    <col min="5371" max="5371" width="24.7109375" style="1" customWidth="1"/>
    <col min="5372" max="5372" width="13.140625" style="1" customWidth="1"/>
    <col min="5373" max="5373" width="14" style="1" customWidth="1"/>
    <col min="5374" max="5374" width="17.140625" style="1" customWidth="1"/>
    <col min="5375" max="5375" width="15.7109375" style="1" customWidth="1"/>
    <col min="5376" max="5376" width="17.85546875" style="1" customWidth="1"/>
    <col min="5377" max="5377" width="21.7109375" style="1" customWidth="1"/>
    <col min="5378" max="5378" width="22.7109375" style="1" customWidth="1"/>
    <col min="5379" max="5379" width="1.7109375" style="1" customWidth="1"/>
    <col min="5380" max="5380" width="14.28515625" style="1" customWidth="1"/>
    <col min="5381" max="5381" width="22.7109375" style="1" customWidth="1"/>
    <col min="5382" max="5387" width="30.7109375" style="1" customWidth="1"/>
    <col min="5388" max="5388" width="22.7109375" style="1" customWidth="1"/>
    <col min="5389" max="5390" width="18.7109375" style="1" customWidth="1"/>
    <col min="5391" max="5391" width="26.28515625" style="1" customWidth="1"/>
    <col min="5392" max="5392" width="17.28515625" style="1" customWidth="1"/>
    <col min="5393" max="5393" width="15.7109375" style="1" customWidth="1"/>
    <col min="5394" max="5618" width="9.140625" style="1"/>
    <col min="5619" max="5619" width="2" style="1" customWidth="1"/>
    <col min="5620" max="5620" width="27.7109375" style="1" customWidth="1"/>
    <col min="5621" max="5621" width="1.7109375" style="1" customWidth="1"/>
    <col min="5622" max="5622" width="16.140625" style="1" customWidth="1"/>
    <col min="5623" max="5623" width="17.140625" style="1" customWidth="1"/>
    <col min="5624" max="5624" width="13" style="1" customWidth="1"/>
    <col min="5625" max="5625" width="27" style="1" customWidth="1"/>
    <col min="5626" max="5626" width="11.140625" style="1" customWidth="1"/>
    <col min="5627" max="5627" width="24.7109375" style="1" customWidth="1"/>
    <col min="5628" max="5628" width="13.140625" style="1" customWidth="1"/>
    <col min="5629" max="5629" width="14" style="1" customWidth="1"/>
    <col min="5630" max="5630" width="17.140625" style="1" customWidth="1"/>
    <col min="5631" max="5631" width="15.7109375" style="1" customWidth="1"/>
    <col min="5632" max="5632" width="17.85546875" style="1" customWidth="1"/>
    <col min="5633" max="5633" width="21.7109375" style="1" customWidth="1"/>
    <col min="5634" max="5634" width="22.7109375" style="1" customWidth="1"/>
    <col min="5635" max="5635" width="1.7109375" style="1" customWidth="1"/>
    <col min="5636" max="5636" width="14.28515625" style="1" customWidth="1"/>
    <col min="5637" max="5637" width="22.7109375" style="1" customWidth="1"/>
    <col min="5638" max="5643" width="30.7109375" style="1" customWidth="1"/>
    <col min="5644" max="5644" width="22.7109375" style="1" customWidth="1"/>
    <col min="5645" max="5646" width="18.7109375" style="1" customWidth="1"/>
    <col min="5647" max="5647" width="26.28515625" style="1" customWidth="1"/>
    <col min="5648" max="5648" width="17.28515625" style="1" customWidth="1"/>
    <col min="5649" max="5649" width="15.7109375" style="1" customWidth="1"/>
    <col min="5650" max="5874" width="9.140625" style="1"/>
    <col min="5875" max="5875" width="2" style="1" customWidth="1"/>
    <col min="5876" max="5876" width="27.7109375" style="1" customWidth="1"/>
    <col min="5877" max="5877" width="1.7109375" style="1" customWidth="1"/>
    <col min="5878" max="5878" width="16.140625" style="1" customWidth="1"/>
    <col min="5879" max="5879" width="17.140625" style="1" customWidth="1"/>
    <col min="5880" max="5880" width="13" style="1" customWidth="1"/>
    <col min="5881" max="5881" width="27" style="1" customWidth="1"/>
    <col min="5882" max="5882" width="11.140625" style="1" customWidth="1"/>
    <col min="5883" max="5883" width="24.7109375" style="1" customWidth="1"/>
    <col min="5884" max="5884" width="13.140625" style="1" customWidth="1"/>
    <col min="5885" max="5885" width="14" style="1" customWidth="1"/>
    <col min="5886" max="5886" width="17.140625" style="1" customWidth="1"/>
    <col min="5887" max="5887" width="15.7109375" style="1" customWidth="1"/>
    <col min="5888" max="5888" width="17.85546875" style="1" customWidth="1"/>
    <col min="5889" max="5889" width="21.7109375" style="1" customWidth="1"/>
    <col min="5890" max="5890" width="22.7109375" style="1" customWidth="1"/>
    <col min="5891" max="5891" width="1.7109375" style="1" customWidth="1"/>
    <col min="5892" max="5892" width="14.28515625" style="1" customWidth="1"/>
    <col min="5893" max="5893" width="22.7109375" style="1" customWidth="1"/>
    <col min="5894" max="5899" width="30.7109375" style="1" customWidth="1"/>
    <col min="5900" max="5900" width="22.7109375" style="1" customWidth="1"/>
    <col min="5901" max="5902" width="18.7109375" style="1" customWidth="1"/>
    <col min="5903" max="5903" width="26.28515625" style="1" customWidth="1"/>
    <col min="5904" max="5904" width="17.28515625" style="1" customWidth="1"/>
    <col min="5905" max="5905" width="15.7109375" style="1" customWidth="1"/>
    <col min="5906" max="6130" width="9.140625" style="1"/>
    <col min="6131" max="6131" width="2" style="1" customWidth="1"/>
    <col min="6132" max="6132" width="27.7109375" style="1" customWidth="1"/>
    <col min="6133" max="6133" width="1.7109375" style="1" customWidth="1"/>
    <col min="6134" max="6134" width="16.140625" style="1" customWidth="1"/>
    <col min="6135" max="6135" width="17.140625" style="1" customWidth="1"/>
    <col min="6136" max="6136" width="13" style="1" customWidth="1"/>
    <col min="6137" max="6137" width="27" style="1" customWidth="1"/>
    <col min="6138" max="6138" width="11.140625" style="1" customWidth="1"/>
    <col min="6139" max="6139" width="24.7109375" style="1" customWidth="1"/>
    <col min="6140" max="6140" width="13.140625" style="1" customWidth="1"/>
    <col min="6141" max="6141" width="14" style="1" customWidth="1"/>
    <col min="6142" max="6142" width="17.140625" style="1" customWidth="1"/>
    <col min="6143" max="6143" width="15.7109375" style="1" customWidth="1"/>
    <col min="6144" max="6144" width="17.85546875" style="1" customWidth="1"/>
    <col min="6145" max="6145" width="21.7109375" style="1" customWidth="1"/>
    <col min="6146" max="6146" width="22.7109375" style="1" customWidth="1"/>
    <col min="6147" max="6147" width="1.7109375" style="1" customWidth="1"/>
    <col min="6148" max="6148" width="14.28515625" style="1" customWidth="1"/>
    <col min="6149" max="6149" width="22.7109375" style="1" customWidth="1"/>
    <col min="6150" max="6155" width="30.7109375" style="1" customWidth="1"/>
    <col min="6156" max="6156" width="22.7109375" style="1" customWidth="1"/>
    <col min="6157" max="6158" width="18.7109375" style="1" customWidth="1"/>
    <col min="6159" max="6159" width="26.28515625" style="1" customWidth="1"/>
    <col min="6160" max="6160" width="17.28515625" style="1" customWidth="1"/>
    <col min="6161" max="6161" width="15.7109375" style="1" customWidth="1"/>
    <col min="6162" max="6386" width="9.140625" style="1"/>
    <col min="6387" max="6387" width="2" style="1" customWidth="1"/>
    <col min="6388" max="6388" width="27.7109375" style="1" customWidth="1"/>
    <col min="6389" max="6389" width="1.7109375" style="1" customWidth="1"/>
    <col min="6390" max="6390" width="16.140625" style="1" customWidth="1"/>
    <col min="6391" max="6391" width="17.140625" style="1" customWidth="1"/>
    <col min="6392" max="6392" width="13" style="1" customWidth="1"/>
    <col min="6393" max="6393" width="27" style="1" customWidth="1"/>
    <col min="6394" max="6394" width="11.140625" style="1" customWidth="1"/>
    <col min="6395" max="6395" width="24.7109375" style="1" customWidth="1"/>
    <col min="6396" max="6396" width="13.140625" style="1" customWidth="1"/>
    <col min="6397" max="6397" width="14" style="1" customWidth="1"/>
    <col min="6398" max="6398" width="17.140625" style="1" customWidth="1"/>
    <col min="6399" max="6399" width="15.7109375" style="1" customWidth="1"/>
    <col min="6400" max="6400" width="17.85546875" style="1" customWidth="1"/>
    <col min="6401" max="6401" width="21.7109375" style="1" customWidth="1"/>
    <col min="6402" max="6402" width="22.7109375" style="1" customWidth="1"/>
    <col min="6403" max="6403" width="1.7109375" style="1" customWidth="1"/>
    <col min="6404" max="6404" width="14.28515625" style="1" customWidth="1"/>
    <col min="6405" max="6405" width="22.7109375" style="1" customWidth="1"/>
    <col min="6406" max="6411" width="30.7109375" style="1" customWidth="1"/>
    <col min="6412" max="6412" width="22.7109375" style="1" customWidth="1"/>
    <col min="6413" max="6414" width="18.7109375" style="1" customWidth="1"/>
    <col min="6415" max="6415" width="26.28515625" style="1" customWidth="1"/>
    <col min="6416" max="6416" width="17.28515625" style="1" customWidth="1"/>
    <col min="6417" max="6417" width="15.7109375" style="1" customWidth="1"/>
    <col min="6418" max="6642" width="9.140625" style="1"/>
    <col min="6643" max="6643" width="2" style="1" customWidth="1"/>
    <col min="6644" max="6644" width="27.7109375" style="1" customWidth="1"/>
    <col min="6645" max="6645" width="1.7109375" style="1" customWidth="1"/>
    <col min="6646" max="6646" width="16.140625" style="1" customWidth="1"/>
    <col min="6647" max="6647" width="17.140625" style="1" customWidth="1"/>
    <col min="6648" max="6648" width="13" style="1" customWidth="1"/>
    <col min="6649" max="6649" width="27" style="1" customWidth="1"/>
    <col min="6650" max="6650" width="11.140625" style="1" customWidth="1"/>
    <col min="6651" max="6651" width="24.7109375" style="1" customWidth="1"/>
    <col min="6652" max="6652" width="13.140625" style="1" customWidth="1"/>
    <col min="6653" max="6653" width="14" style="1" customWidth="1"/>
    <col min="6654" max="6654" width="17.140625" style="1" customWidth="1"/>
    <col min="6655" max="6655" width="15.7109375" style="1" customWidth="1"/>
    <col min="6656" max="6656" width="17.85546875" style="1" customWidth="1"/>
    <col min="6657" max="6657" width="21.7109375" style="1" customWidth="1"/>
    <col min="6658" max="6658" width="22.7109375" style="1" customWidth="1"/>
    <col min="6659" max="6659" width="1.7109375" style="1" customWidth="1"/>
    <col min="6660" max="6660" width="14.28515625" style="1" customWidth="1"/>
    <col min="6661" max="6661" width="22.7109375" style="1" customWidth="1"/>
    <col min="6662" max="6667" width="30.7109375" style="1" customWidth="1"/>
    <col min="6668" max="6668" width="22.7109375" style="1" customWidth="1"/>
    <col min="6669" max="6670" width="18.7109375" style="1" customWidth="1"/>
    <col min="6671" max="6671" width="26.28515625" style="1" customWidth="1"/>
    <col min="6672" max="6672" width="17.28515625" style="1" customWidth="1"/>
    <col min="6673" max="6673" width="15.7109375" style="1" customWidth="1"/>
    <col min="6674" max="6898" width="9.140625" style="1"/>
    <col min="6899" max="6899" width="2" style="1" customWidth="1"/>
    <col min="6900" max="6900" width="27.7109375" style="1" customWidth="1"/>
    <col min="6901" max="6901" width="1.7109375" style="1" customWidth="1"/>
    <col min="6902" max="6902" width="16.140625" style="1" customWidth="1"/>
    <col min="6903" max="6903" width="17.140625" style="1" customWidth="1"/>
    <col min="6904" max="6904" width="13" style="1" customWidth="1"/>
    <col min="6905" max="6905" width="27" style="1" customWidth="1"/>
    <col min="6906" max="6906" width="11.140625" style="1" customWidth="1"/>
    <col min="6907" max="6907" width="24.7109375" style="1" customWidth="1"/>
    <col min="6908" max="6908" width="13.140625" style="1" customWidth="1"/>
    <col min="6909" max="6909" width="14" style="1" customWidth="1"/>
    <col min="6910" max="6910" width="17.140625" style="1" customWidth="1"/>
    <col min="6911" max="6911" width="15.7109375" style="1" customWidth="1"/>
    <col min="6912" max="6912" width="17.85546875" style="1" customWidth="1"/>
    <col min="6913" max="6913" width="21.7109375" style="1" customWidth="1"/>
    <col min="6914" max="6914" width="22.7109375" style="1" customWidth="1"/>
    <col min="6915" max="6915" width="1.7109375" style="1" customWidth="1"/>
    <col min="6916" max="6916" width="14.28515625" style="1" customWidth="1"/>
    <col min="6917" max="6917" width="22.7109375" style="1" customWidth="1"/>
    <col min="6918" max="6923" width="30.7109375" style="1" customWidth="1"/>
    <col min="6924" max="6924" width="22.7109375" style="1" customWidth="1"/>
    <col min="6925" max="6926" width="18.7109375" style="1" customWidth="1"/>
    <col min="6927" max="6927" width="26.28515625" style="1" customWidth="1"/>
    <col min="6928" max="6928" width="17.28515625" style="1" customWidth="1"/>
    <col min="6929" max="6929" width="15.7109375" style="1" customWidth="1"/>
    <col min="6930" max="7154" width="9.140625" style="1"/>
    <col min="7155" max="7155" width="2" style="1" customWidth="1"/>
    <col min="7156" max="7156" width="27.7109375" style="1" customWidth="1"/>
    <col min="7157" max="7157" width="1.7109375" style="1" customWidth="1"/>
    <col min="7158" max="7158" width="16.140625" style="1" customWidth="1"/>
    <col min="7159" max="7159" width="17.140625" style="1" customWidth="1"/>
    <col min="7160" max="7160" width="13" style="1" customWidth="1"/>
    <col min="7161" max="7161" width="27" style="1" customWidth="1"/>
    <col min="7162" max="7162" width="11.140625" style="1" customWidth="1"/>
    <col min="7163" max="7163" width="24.7109375" style="1" customWidth="1"/>
    <col min="7164" max="7164" width="13.140625" style="1" customWidth="1"/>
    <col min="7165" max="7165" width="14" style="1" customWidth="1"/>
    <col min="7166" max="7166" width="17.140625" style="1" customWidth="1"/>
    <col min="7167" max="7167" width="15.7109375" style="1" customWidth="1"/>
    <col min="7168" max="7168" width="17.85546875" style="1" customWidth="1"/>
    <col min="7169" max="7169" width="21.7109375" style="1" customWidth="1"/>
    <col min="7170" max="7170" width="22.7109375" style="1" customWidth="1"/>
    <col min="7171" max="7171" width="1.7109375" style="1" customWidth="1"/>
    <col min="7172" max="7172" width="14.28515625" style="1" customWidth="1"/>
    <col min="7173" max="7173" width="22.7109375" style="1" customWidth="1"/>
    <col min="7174" max="7179" width="30.7109375" style="1" customWidth="1"/>
    <col min="7180" max="7180" width="22.7109375" style="1" customWidth="1"/>
    <col min="7181" max="7182" width="18.7109375" style="1" customWidth="1"/>
    <col min="7183" max="7183" width="26.28515625" style="1" customWidth="1"/>
    <col min="7184" max="7184" width="17.28515625" style="1" customWidth="1"/>
    <col min="7185" max="7185" width="15.7109375" style="1" customWidth="1"/>
    <col min="7186" max="7410" width="9.140625" style="1"/>
    <col min="7411" max="7411" width="2" style="1" customWidth="1"/>
    <col min="7412" max="7412" width="27.7109375" style="1" customWidth="1"/>
    <col min="7413" max="7413" width="1.7109375" style="1" customWidth="1"/>
    <col min="7414" max="7414" width="16.140625" style="1" customWidth="1"/>
    <col min="7415" max="7415" width="17.140625" style="1" customWidth="1"/>
    <col min="7416" max="7416" width="13" style="1" customWidth="1"/>
    <col min="7417" max="7417" width="27" style="1" customWidth="1"/>
    <col min="7418" max="7418" width="11.140625" style="1" customWidth="1"/>
    <col min="7419" max="7419" width="24.7109375" style="1" customWidth="1"/>
    <col min="7420" max="7420" width="13.140625" style="1" customWidth="1"/>
    <col min="7421" max="7421" width="14" style="1" customWidth="1"/>
    <col min="7422" max="7422" width="17.140625" style="1" customWidth="1"/>
    <col min="7423" max="7423" width="15.7109375" style="1" customWidth="1"/>
    <col min="7424" max="7424" width="17.85546875" style="1" customWidth="1"/>
    <col min="7425" max="7425" width="21.7109375" style="1" customWidth="1"/>
    <col min="7426" max="7426" width="22.7109375" style="1" customWidth="1"/>
    <col min="7427" max="7427" width="1.7109375" style="1" customWidth="1"/>
    <col min="7428" max="7428" width="14.28515625" style="1" customWidth="1"/>
    <col min="7429" max="7429" width="22.7109375" style="1" customWidth="1"/>
    <col min="7430" max="7435" width="30.7109375" style="1" customWidth="1"/>
    <col min="7436" max="7436" width="22.7109375" style="1" customWidth="1"/>
    <col min="7437" max="7438" width="18.7109375" style="1" customWidth="1"/>
    <col min="7439" max="7439" width="26.28515625" style="1" customWidth="1"/>
    <col min="7440" max="7440" width="17.28515625" style="1" customWidth="1"/>
    <col min="7441" max="7441" width="15.7109375" style="1" customWidth="1"/>
    <col min="7442" max="7666" width="9.140625" style="1"/>
    <col min="7667" max="7667" width="2" style="1" customWidth="1"/>
    <col min="7668" max="7668" width="27.7109375" style="1" customWidth="1"/>
    <col min="7669" max="7669" width="1.7109375" style="1" customWidth="1"/>
    <col min="7670" max="7670" width="16.140625" style="1" customWidth="1"/>
    <col min="7671" max="7671" width="17.140625" style="1" customWidth="1"/>
    <col min="7672" max="7672" width="13" style="1" customWidth="1"/>
    <col min="7673" max="7673" width="27" style="1" customWidth="1"/>
    <col min="7674" max="7674" width="11.140625" style="1" customWidth="1"/>
    <col min="7675" max="7675" width="24.7109375" style="1" customWidth="1"/>
    <col min="7676" max="7676" width="13.140625" style="1" customWidth="1"/>
    <col min="7677" max="7677" width="14" style="1" customWidth="1"/>
    <col min="7678" max="7678" width="17.140625" style="1" customWidth="1"/>
    <col min="7679" max="7679" width="15.7109375" style="1" customWidth="1"/>
    <col min="7680" max="7680" width="17.85546875" style="1" customWidth="1"/>
    <col min="7681" max="7681" width="21.7109375" style="1" customWidth="1"/>
    <col min="7682" max="7682" width="22.7109375" style="1" customWidth="1"/>
    <col min="7683" max="7683" width="1.7109375" style="1" customWidth="1"/>
    <col min="7684" max="7684" width="14.28515625" style="1" customWidth="1"/>
    <col min="7685" max="7685" width="22.7109375" style="1" customWidth="1"/>
    <col min="7686" max="7691" width="30.7109375" style="1" customWidth="1"/>
    <col min="7692" max="7692" width="22.7109375" style="1" customWidth="1"/>
    <col min="7693" max="7694" width="18.7109375" style="1" customWidth="1"/>
    <col min="7695" max="7695" width="26.28515625" style="1" customWidth="1"/>
    <col min="7696" max="7696" width="17.28515625" style="1" customWidth="1"/>
    <col min="7697" max="7697" width="15.7109375" style="1" customWidth="1"/>
    <col min="7698" max="7922" width="9.140625" style="1"/>
    <col min="7923" max="7923" width="2" style="1" customWidth="1"/>
    <col min="7924" max="7924" width="27.7109375" style="1" customWidth="1"/>
    <col min="7925" max="7925" width="1.7109375" style="1" customWidth="1"/>
    <col min="7926" max="7926" width="16.140625" style="1" customWidth="1"/>
    <col min="7927" max="7927" width="17.140625" style="1" customWidth="1"/>
    <col min="7928" max="7928" width="13" style="1" customWidth="1"/>
    <col min="7929" max="7929" width="27" style="1" customWidth="1"/>
    <col min="7930" max="7930" width="11.140625" style="1" customWidth="1"/>
    <col min="7931" max="7931" width="24.7109375" style="1" customWidth="1"/>
    <col min="7932" max="7932" width="13.140625" style="1" customWidth="1"/>
    <col min="7933" max="7933" width="14" style="1" customWidth="1"/>
    <col min="7934" max="7934" width="17.140625" style="1" customWidth="1"/>
    <col min="7935" max="7935" width="15.7109375" style="1" customWidth="1"/>
    <col min="7936" max="7936" width="17.85546875" style="1" customWidth="1"/>
    <col min="7937" max="7937" width="21.7109375" style="1" customWidth="1"/>
    <col min="7938" max="7938" width="22.7109375" style="1" customWidth="1"/>
    <col min="7939" max="7939" width="1.7109375" style="1" customWidth="1"/>
    <col min="7940" max="7940" width="14.28515625" style="1" customWidth="1"/>
    <col min="7941" max="7941" width="22.7109375" style="1" customWidth="1"/>
    <col min="7942" max="7947" width="30.7109375" style="1" customWidth="1"/>
    <col min="7948" max="7948" width="22.7109375" style="1" customWidth="1"/>
    <col min="7949" max="7950" width="18.7109375" style="1" customWidth="1"/>
    <col min="7951" max="7951" width="26.28515625" style="1" customWidth="1"/>
    <col min="7952" max="7952" width="17.28515625" style="1" customWidth="1"/>
    <col min="7953" max="7953" width="15.7109375" style="1" customWidth="1"/>
    <col min="7954" max="8178" width="9.140625" style="1"/>
    <col min="8179" max="8179" width="2" style="1" customWidth="1"/>
    <col min="8180" max="8180" width="27.7109375" style="1" customWidth="1"/>
    <col min="8181" max="8181" width="1.7109375" style="1" customWidth="1"/>
    <col min="8182" max="8182" width="16.140625" style="1" customWidth="1"/>
    <col min="8183" max="8183" width="17.140625" style="1" customWidth="1"/>
    <col min="8184" max="8184" width="13" style="1" customWidth="1"/>
    <col min="8185" max="8185" width="27" style="1" customWidth="1"/>
    <col min="8186" max="8186" width="11.140625" style="1" customWidth="1"/>
    <col min="8187" max="8187" width="24.7109375" style="1" customWidth="1"/>
    <col min="8188" max="8188" width="13.140625" style="1" customWidth="1"/>
    <col min="8189" max="8189" width="14" style="1" customWidth="1"/>
    <col min="8190" max="8190" width="17.140625" style="1" customWidth="1"/>
    <col min="8191" max="8191" width="15.7109375" style="1" customWidth="1"/>
    <col min="8192" max="8192" width="17.85546875" style="1" customWidth="1"/>
    <col min="8193" max="8193" width="21.7109375" style="1" customWidth="1"/>
    <col min="8194" max="8194" width="22.7109375" style="1" customWidth="1"/>
    <col min="8195" max="8195" width="1.7109375" style="1" customWidth="1"/>
    <col min="8196" max="8196" width="14.28515625" style="1" customWidth="1"/>
    <col min="8197" max="8197" width="22.7109375" style="1" customWidth="1"/>
    <col min="8198" max="8203" width="30.7109375" style="1" customWidth="1"/>
    <col min="8204" max="8204" width="22.7109375" style="1" customWidth="1"/>
    <col min="8205" max="8206" width="18.7109375" style="1" customWidth="1"/>
    <col min="8207" max="8207" width="26.28515625" style="1" customWidth="1"/>
    <col min="8208" max="8208" width="17.28515625" style="1" customWidth="1"/>
    <col min="8209" max="8209" width="15.7109375" style="1" customWidth="1"/>
    <col min="8210" max="8434" width="9.140625" style="1"/>
    <col min="8435" max="8435" width="2" style="1" customWidth="1"/>
    <col min="8436" max="8436" width="27.7109375" style="1" customWidth="1"/>
    <col min="8437" max="8437" width="1.7109375" style="1" customWidth="1"/>
    <col min="8438" max="8438" width="16.140625" style="1" customWidth="1"/>
    <col min="8439" max="8439" width="17.140625" style="1" customWidth="1"/>
    <col min="8440" max="8440" width="13" style="1" customWidth="1"/>
    <col min="8441" max="8441" width="27" style="1" customWidth="1"/>
    <col min="8442" max="8442" width="11.140625" style="1" customWidth="1"/>
    <col min="8443" max="8443" width="24.7109375" style="1" customWidth="1"/>
    <col min="8444" max="8444" width="13.140625" style="1" customWidth="1"/>
    <col min="8445" max="8445" width="14" style="1" customWidth="1"/>
    <col min="8446" max="8446" width="17.140625" style="1" customWidth="1"/>
    <col min="8447" max="8447" width="15.7109375" style="1" customWidth="1"/>
    <col min="8448" max="8448" width="17.85546875" style="1" customWidth="1"/>
    <col min="8449" max="8449" width="21.7109375" style="1" customWidth="1"/>
    <col min="8450" max="8450" width="22.7109375" style="1" customWidth="1"/>
    <col min="8451" max="8451" width="1.7109375" style="1" customWidth="1"/>
    <col min="8452" max="8452" width="14.28515625" style="1" customWidth="1"/>
    <col min="8453" max="8453" width="22.7109375" style="1" customWidth="1"/>
    <col min="8454" max="8459" width="30.7109375" style="1" customWidth="1"/>
    <col min="8460" max="8460" width="22.7109375" style="1" customWidth="1"/>
    <col min="8461" max="8462" width="18.7109375" style="1" customWidth="1"/>
    <col min="8463" max="8463" width="26.28515625" style="1" customWidth="1"/>
    <col min="8464" max="8464" width="17.28515625" style="1" customWidth="1"/>
    <col min="8465" max="8465" width="15.7109375" style="1" customWidth="1"/>
    <col min="8466" max="8690" width="9.140625" style="1"/>
    <col min="8691" max="8691" width="2" style="1" customWidth="1"/>
    <col min="8692" max="8692" width="27.7109375" style="1" customWidth="1"/>
    <col min="8693" max="8693" width="1.7109375" style="1" customWidth="1"/>
    <col min="8694" max="8694" width="16.140625" style="1" customWidth="1"/>
    <col min="8695" max="8695" width="17.140625" style="1" customWidth="1"/>
    <col min="8696" max="8696" width="13" style="1" customWidth="1"/>
    <col min="8697" max="8697" width="27" style="1" customWidth="1"/>
    <col min="8698" max="8698" width="11.140625" style="1" customWidth="1"/>
    <col min="8699" max="8699" width="24.7109375" style="1" customWidth="1"/>
    <col min="8700" max="8700" width="13.140625" style="1" customWidth="1"/>
    <col min="8701" max="8701" width="14" style="1" customWidth="1"/>
    <col min="8702" max="8702" width="17.140625" style="1" customWidth="1"/>
    <col min="8703" max="8703" width="15.7109375" style="1" customWidth="1"/>
    <col min="8704" max="8704" width="17.85546875" style="1" customWidth="1"/>
    <col min="8705" max="8705" width="21.7109375" style="1" customWidth="1"/>
    <col min="8706" max="8706" width="22.7109375" style="1" customWidth="1"/>
    <col min="8707" max="8707" width="1.7109375" style="1" customWidth="1"/>
    <col min="8708" max="8708" width="14.28515625" style="1" customWidth="1"/>
    <col min="8709" max="8709" width="22.7109375" style="1" customWidth="1"/>
    <col min="8710" max="8715" width="30.7109375" style="1" customWidth="1"/>
    <col min="8716" max="8716" width="22.7109375" style="1" customWidth="1"/>
    <col min="8717" max="8718" width="18.7109375" style="1" customWidth="1"/>
    <col min="8719" max="8719" width="26.28515625" style="1" customWidth="1"/>
    <col min="8720" max="8720" width="17.28515625" style="1" customWidth="1"/>
    <col min="8721" max="8721" width="15.7109375" style="1" customWidth="1"/>
    <col min="8722" max="8946" width="9.140625" style="1"/>
    <col min="8947" max="8947" width="2" style="1" customWidth="1"/>
    <col min="8948" max="8948" width="27.7109375" style="1" customWidth="1"/>
    <col min="8949" max="8949" width="1.7109375" style="1" customWidth="1"/>
    <col min="8950" max="8950" width="16.140625" style="1" customWidth="1"/>
    <col min="8951" max="8951" width="17.140625" style="1" customWidth="1"/>
    <col min="8952" max="8952" width="13" style="1" customWidth="1"/>
    <col min="8953" max="8953" width="27" style="1" customWidth="1"/>
    <col min="8954" max="8954" width="11.140625" style="1" customWidth="1"/>
    <col min="8955" max="8955" width="24.7109375" style="1" customWidth="1"/>
    <col min="8956" max="8956" width="13.140625" style="1" customWidth="1"/>
    <col min="8957" max="8957" width="14" style="1" customWidth="1"/>
    <col min="8958" max="8958" width="17.140625" style="1" customWidth="1"/>
    <col min="8959" max="8959" width="15.7109375" style="1" customWidth="1"/>
    <col min="8960" max="8960" width="17.85546875" style="1" customWidth="1"/>
    <col min="8961" max="8961" width="21.7109375" style="1" customWidth="1"/>
    <col min="8962" max="8962" width="22.7109375" style="1" customWidth="1"/>
    <col min="8963" max="8963" width="1.7109375" style="1" customWidth="1"/>
    <col min="8964" max="8964" width="14.28515625" style="1" customWidth="1"/>
    <col min="8965" max="8965" width="22.7109375" style="1" customWidth="1"/>
    <col min="8966" max="8971" width="30.7109375" style="1" customWidth="1"/>
    <col min="8972" max="8972" width="22.7109375" style="1" customWidth="1"/>
    <col min="8973" max="8974" width="18.7109375" style="1" customWidth="1"/>
    <col min="8975" max="8975" width="26.28515625" style="1" customWidth="1"/>
    <col min="8976" max="8976" width="17.28515625" style="1" customWidth="1"/>
    <col min="8977" max="8977" width="15.7109375" style="1" customWidth="1"/>
    <col min="8978" max="9202" width="9.140625" style="1"/>
    <col min="9203" max="9203" width="2" style="1" customWidth="1"/>
    <col min="9204" max="9204" width="27.7109375" style="1" customWidth="1"/>
    <col min="9205" max="9205" width="1.7109375" style="1" customWidth="1"/>
    <col min="9206" max="9206" width="16.140625" style="1" customWidth="1"/>
    <col min="9207" max="9207" width="17.140625" style="1" customWidth="1"/>
    <col min="9208" max="9208" width="13" style="1" customWidth="1"/>
    <col min="9209" max="9209" width="27" style="1" customWidth="1"/>
    <col min="9210" max="9210" width="11.140625" style="1" customWidth="1"/>
    <col min="9211" max="9211" width="24.7109375" style="1" customWidth="1"/>
    <col min="9212" max="9212" width="13.140625" style="1" customWidth="1"/>
    <col min="9213" max="9213" width="14" style="1" customWidth="1"/>
    <col min="9214" max="9214" width="17.140625" style="1" customWidth="1"/>
    <col min="9215" max="9215" width="15.7109375" style="1" customWidth="1"/>
    <col min="9216" max="9216" width="17.85546875" style="1" customWidth="1"/>
    <col min="9217" max="9217" width="21.7109375" style="1" customWidth="1"/>
    <col min="9218" max="9218" width="22.7109375" style="1" customWidth="1"/>
    <col min="9219" max="9219" width="1.7109375" style="1" customWidth="1"/>
    <col min="9220" max="9220" width="14.28515625" style="1" customWidth="1"/>
    <col min="9221" max="9221" width="22.7109375" style="1" customWidth="1"/>
    <col min="9222" max="9227" width="30.7109375" style="1" customWidth="1"/>
    <col min="9228" max="9228" width="22.7109375" style="1" customWidth="1"/>
    <col min="9229" max="9230" width="18.7109375" style="1" customWidth="1"/>
    <col min="9231" max="9231" width="26.28515625" style="1" customWidth="1"/>
    <col min="9232" max="9232" width="17.28515625" style="1" customWidth="1"/>
    <col min="9233" max="9233" width="15.7109375" style="1" customWidth="1"/>
    <col min="9234" max="9458" width="9.140625" style="1"/>
    <col min="9459" max="9459" width="2" style="1" customWidth="1"/>
    <col min="9460" max="9460" width="27.7109375" style="1" customWidth="1"/>
    <col min="9461" max="9461" width="1.7109375" style="1" customWidth="1"/>
    <col min="9462" max="9462" width="16.140625" style="1" customWidth="1"/>
    <col min="9463" max="9463" width="17.140625" style="1" customWidth="1"/>
    <col min="9464" max="9464" width="13" style="1" customWidth="1"/>
    <col min="9465" max="9465" width="27" style="1" customWidth="1"/>
    <col min="9466" max="9466" width="11.140625" style="1" customWidth="1"/>
    <col min="9467" max="9467" width="24.7109375" style="1" customWidth="1"/>
    <col min="9468" max="9468" width="13.140625" style="1" customWidth="1"/>
    <col min="9469" max="9469" width="14" style="1" customWidth="1"/>
    <col min="9470" max="9470" width="17.140625" style="1" customWidth="1"/>
    <col min="9471" max="9471" width="15.7109375" style="1" customWidth="1"/>
    <col min="9472" max="9472" width="17.85546875" style="1" customWidth="1"/>
    <col min="9473" max="9473" width="21.7109375" style="1" customWidth="1"/>
    <col min="9474" max="9474" width="22.7109375" style="1" customWidth="1"/>
    <col min="9475" max="9475" width="1.7109375" style="1" customWidth="1"/>
    <col min="9476" max="9476" width="14.28515625" style="1" customWidth="1"/>
    <col min="9477" max="9477" width="22.7109375" style="1" customWidth="1"/>
    <col min="9478" max="9483" width="30.7109375" style="1" customWidth="1"/>
    <col min="9484" max="9484" width="22.7109375" style="1" customWidth="1"/>
    <col min="9485" max="9486" width="18.7109375" style="1" customWidth="1"/>
    <col min="9487" max="9487" width="26.28515625" style="1" customWidth="1"/>
    <col min="9488" max="9488" width="17.28515625" style="1" customWidth="1"/>
    <col min="9489" max="9489" width="15.7109375" style="1" customWidth="1"/>
    <col min="9490" max="9714" width="9.140625" style="1"/>
    <col min="9715" max="9715" width="2" style="1" customWidth="1"/>
    <col min="9716" max="9716" width="27.7109375" style="1" customWidth="1"/>
    <col min="9717" max="9717" width="1.7109375" style="1" customWidth="1"/>
    <col min="9718" max="9718" width="16.140625" style="1" customWidth="1"/>
    <col min="9719" max="9719" width="17.140625" style="1" customWidth="1"/>
    <col min="9720" max="9720" width="13" style="1" customWidth="1"/>
    <col min="9721" max="9721" width="27" style="1" customWidth="1"/>
    <col min="9722" max="9722" width="11.140625" style="1" customWidth="1"/>
    <col min="9723" max="9723" width="24.7109375" style="1" customWidth="1"/>
    <col min="9724" max="9724" width="13.140625" style="1" customWidth="1"/>
    <col min="9725" max="9725" width="14" style="1" customWidth="1"/>
    <col min="9726" max="9726" width="17.140625" style="1" customWidth="1"/>
    <col min="9727" max="9727" width="15.7109375" style="1" customWidth="1"/>
    <col min="9728" max="9728" width="17.85546875" style="1" customWidth="1"/>
    <col min="9729" max="9729" width="21.7109375" style="1" customWidth="1"/>
    <col min="9730" max="9730" width="22.7109375" style="1" customWidth="1"/>
    <col min="9731" max="9731" width="1.7109375" style="1" customWidth="1"/>
    <col min="9732" max="9732" width="14.28515625" style="1" customWidth="1"/>
    <col min="9733" max="9733" width="22.7109375" style="1" customWidth="1"/>
    <col min="9734" max="9739" width="30.7109375" style="1" customWidth="1"/>
    <col min="9740" max="9740" width="22.7109375" style="1" customWidth="1"/>
    <col min="9741" max="9742" width="18.7109375" style="1" customWidth="1"/>
    <col min="9743" max="9743" width="26.28515625" style="1" customWidth="1"/>
    <col min="9744" max="9744" width="17.28515625" style="1" customWidth="1"/>
    <col min="9745" max="9745" width="15.7109375" style="1" customWidth="1"/>
    <col min="9746" max="9970" width="9.140625" style="1"/>
    <col min="9971" max="9971" width="2" style="1" customWidth="1"/>
    <col min="9972" max="9972" width="27.7109375" style="1" customWidth="1"/>
    <col min="9973" max="9973" width="1.7109375" style="1" customWidth="1"/>
    <col min="9974" max="9974" width="16.140625" style="1" customWidth="1"/>
    <col min="9975" max="9975" width="17.140625" style="1" customWidth="1"/>
    <col min="9976" max="9976" width="13" style="1" customWidth="1"/>
    <col min="9977" max="9977" width="27" style="1" customWidth="1"/>
    <col min="9978" max="9978" width="11.140625" style="1" customWidth="1"/>
    <col min="9979" max="9979" width="24.7109375" style="1" customWidth="1"/>
    <col min="9980" max="9980" width="13.140625" style="1" customWidth="1"/>
    <col min="9981" max="9981" width="14" style="1" customWidth="1"/>
    <col min="9982" max="9982" width="17.140625" style="1" customWidth="1"/>
    <col min="9983" max="9983" width="15.7109375" style="1" customWidth="1"/>
    <col min="9984" max="9984" width="17.85546875" style="1" customWidth="1"/>
    <col min="9985" max="9985" width="21.7109375" style="1" customWidth="1"/>
    <col min="9986" max="9986" width="22.7109375" style="1" customWidth="1"/>
    <col min="9987" max="9987" width="1.7109375" style="1" customWidth="1"/>
    <col min="9988" max="9988" width="14.28515625" style="1" customWidth="1"/>
    <col min="9989" max="9989" width="22.7109375" style="1" customWidth="1"/>
    <col min="9990" max="9995" width="30.7109375" style="1" customWidth="1"/>
    <col min="9996" max="9996" width="22.7109375" style="1" customWidth="1"/>
    <col min="9997" max="9998" width="18.7109375" style="1" customWidth="1"/>
    <col min="9999" max="9999" width="26.28515625" style="1" customWidth="1"/>
    <col min="10000" max="10000" width="17.28515625" style="1" customWidth="1"/>
    <col min="10001" max="10001" width="15.7109375" style="1" customWidth="1"/>
    <col min="10002" max="10226" width="9.140625" style="1"/>
    <col min="10227" max="10227" width="2" style="1" customWidth="1"/>
    <col min="10228" max="10228" width="27.7109375" style="1" customWidth="1"/>
    <col min="10229" max="10229" width="1.7109375" style="1" customWidth="1"/>
    <col min="10230" max="10230" width="16.140625" style="1" customWidth="1"/>
    <col min="10231" max="10231" width="17.140625" style="1" customWidth="1"/>
    <col min="10232" max="10232" width="13" style="1" customWidth="1"/>
    <col min="10233" max="10233" width="27" style="1" customWidth="1"/>
    <col min="10234" max="10234" width="11.140625" style="1" customWidth="1"/>
    <col min="10235" max="10235" width="24.7109375" style="1" customWidth="1"/>
    <col min="10236" max="10236" width="13.140625" style="1" customWidth="1"/>
    <col min="10237" max="10237" width="14" style="1" customWidth="1"/>
    <col min="10238" max="10238" width="17.140625" style="1" customWidth="1"/>
    <col min="10239" max="10239" width="15.7109375" style="1" customWidth="1"/>
    <col min="10240" max="10240" width="17.85546875" style="1" customWidth="1"/>
    <col min="10241" max="10241" width="21.7109375" style="1" customWidth="1"/>
    <col min="10242" max="10242" width="22.7109375" style="1" customWidth="1"/>
    <col min="10243" max="10243" width="1.7109375" style="1" customWidth="1"/>
    <col min="10244" max="10244" width="14.28515625" style="1" customWidth="1"/>
    <col min="10245" max="10245" width="22.7109375" style="1" customWidth="1"/>
    <col min="10246" max="10251" width="30.7109375" style="1" customWidth="1"/>
    <col min="10252" max="10252" width="22.7109375" style="1" customWidth="1"/>
    <col min="10253" max="10254" width="18.7109375" style="1" customWidth="1"/>
    <col min="10255" max="10255" width="26.28515625" style="1" customWidth="1"/>
    <col min="10256" max="10256" width="17.28515625" style="1" customWidth="1"/>
    <col min="10257" max="10257" width="15.7109375" style="1" customWidth="1"/>
    <col min="10258" max="10482" width="9.140625" style="1"/>
    <col min="10483" max="10483" width="2" style="1" customWidth="1"/>
    <col min="10484" max="10484" width="27.7109375" style="1" customWidth="1"/>
    <col min="10485" max="10485" width="1.7109375" style="1" customWidth="1"/>
    <col min="10486" max="10486" width="16.140625" style="1" customWidth="1"/>
    <col min="10487" max="10487" width="17.140625" style="1" customWidth="1"/>
    <col min="10488" max="10488" width="13" style="1" customWidth="1"/>
    <col min="10489" max="10489" width="27" style="1" customWidth="1"/>
    <col min="10490" max="10490" width="11.140625" style="1" customWidth="1"/>
    <col min="10491" max="10491" width="24.7109375" style="1" customWidth="1"/>
    <col min="10492" max="10492" width="13.140625" style="1" customWidth="1"/>
    <col min="10493" max="10493" width="14" style="1" customWidth="1"/>
    <col min="10494" max="10494" width="17.140625" style="1" customWidth="1"/>
    <col min="10495" max="10495" width="15.7109375" style="1" customWidth="1"/>
    <col min="10496" max="10496" width="17.85546875" style="1" customWidth="1"/>
    <col min="10497" max="10497" width="21.7109375" style="1" customWidth="1"/>
    <col min="10498" max="10498" width="22.7109375" style="1" customWidth="1"/>
    <col min="10499" max="10499" width="1.7109375" style="1" customWidth="1"/>
    <col min="10500" max="10500" width="14.28515625" style="1" customWidth="1"/>
    <col min="10501" max="10501" width="22.7109375" style="1" customWidth="1"/>
    <col min="10502" max="10507" width="30.7109375" style="1" customWidth="1"/>
    <col min="10508" max="10508" width="22.7109375" style="1" customWidth="1"/>
    <col min="10509" max="10510" width="18.7109375" style="1" customWidth="1"/>
    <col min="10511" max="10511" width="26.28515625" style="1" customWidth="1"/>
    <col min="10512" max="10512" width="17.28515625" style="1" customWidth="1"/>
    <col min="10513" max="10513" width="15.7109375" style="1" customWidth="1"/>
    <col min="10514" max="10738" width="9.140625" style="1"/>
    <col min="10739" max="10739" width="2" style="1" customWidth="1"/>
    <col min="10740" max="10740" width="27.7109375" style="1" customWidth="1"/>
    <col min="10741" max="10741" width="1.7109375" style="1" customWidth="1"/>
    <col min="10742" max="10742" width="16.140625" style="1" customWidth="1"/>
    <col min="10743" max="10743" width="17.140625" style="1" customWidth="1"/>
    <col min="10744" max="10744" width="13" style="1" customWidth="1"/>
    <col min="10745" max="10745" width="27" style="1" customWidth="1"/>
    <col min="10746" max="10746" width="11.140625" style="1" customWidth="1"/>
    <col min="10747" max="10747" width="24.7109375" style="1" customWidth="1"/>
    <col min="10748" max="10748" width="13.140625" style="1" customWidth="1"/>
    <col min="10749" max="10749" width="14" style="1" customWidth="1"/>
    <col min="10750" max="10750" width="17.140625" style="1" customWidth="1"/>
    <col min="10751" max="10751" width="15.7109375" style="1" customWidth="1"/>
    <col min="10752" max="10752" width="17.85546875" style="1" customWidth="1"/>
    <col min="10753" max="10753" width="21.7109375" style="1" customWidth="1"/>
    <col min="10754" max="10754" width="22.7109375" style="1" customWidth="1"/>
    <col min="10755" max="10755" width="1.7109375" style="1" customWidth="1"/>
    <col min="10756" max="10756" width="14.28515625" style="1" customWidth="1"/>
    <col min="10757" max="10757" width="22.7109375" style="1" customWidth="1"/>
    <col min="10758" max="10763" width="30.7109375" style="1" customWidth="1"/>
    <col min="10764" max="10764" width="22.7109375" style="1" customWidth="1"/>
    <col min="10765" max="10766" width="18.7109375" style="1" customWidth="1"/>
    <col min="10767" max="10767" width="26.28515625" style="1" customWidth="1"/>
    <col min="10768" max="10768" width="17.28515625" style="1" customWidth="1"/>
    <col min="10769" max="10769" width="15.7109375" style="1" customWidth="1"/>
    <col min="10770" max="10994" width="9.140625" style="1"/>
    <col min="10995" max="10995" width="2" style="1" customWidth="1"/>
    <col min="10996" max="10996" width="27.7109375" style="1" customWidth="1"/>
    <col min="10997" max="10997" width="1.7109375" style="1" customWidth="1"/>
    <col min="10998" max="10998" width="16.140625" style="1" customWidth="1"/>
    <col min="10999" max="10999" width="17.140625" style="1" customWidth="1"/>
    <col min="11000" max="11000" width="13" style="1" customWidth="1"/>
    <col min="11001" max="11001" width="27" style="1" customWidth="1"/>
    <col min="11002" max="11002" width="11.140625" style="1" customWidth="1"/>
    <col min="11003" max="11003" width="24.7109375" style="1" customWidth="1"/>
    <col min="11004" max="11004" width="13.140625" style="1" customWidth="1"/>
    <col min="11005" max="11005" width="14" style="1" customWidth="1"/>
    <col min="11006" max="11006" width="17.140625" style="1" customWidth="1"/>
    <col min="11007" max="11007" width="15.7109375" style="1" customWidth="1"/>
    <col min="11008" max="11008" width="17.85546875" style="1" customWidth="1"/>
    <col min="11009" max="11009" width="21.7109375" style="1" customWidth="1"/>
    <col min="11010" max="11010" width="22.7109375" style="1" customWidth="1"/>
    <col min="11011" max="11011" width="1.7109375" style="1" customWidth="1"/>
    <col min="11012" max="11012" width="14.28515625" style="1" customWidth="1"/>
    <col min="11013" max="11013" width="22.7109375" style="1" customWidth="1"/>
    <col min="11014" max="11019" width="30.7109375" style="1" customWidth="1"/>
    <col min="11020" max="11020" width="22.7109375" style="1" customWidth="1"/>
    <col min="11021" max="11022" width="18.7109375" style="1" customWidth="1"/>
    <col min="11023" max="11023" width="26.28515625" style="1" customWidth="1"/>
    <col min="11024" max="11024" width="17.28515625" style="1" customWidth="1"/>
    <col min="11025" max="11025" width="15.7109375" style="1" customWidth="1"/>
    <col min="11026" max="11250" width="9.140625" style="1"/>
    <col min="11251" max="11251" width="2" style="1" customWidth="1"/>
    <col min="11252" max="11252" width="27.7109375" style="1" customWidth="1"/>
    <col min="11253" max="11253" width="1.7109375" style="1" customWidth="1"/>
    <col min="11254" max="11254" width="16.140625" style="1" customWidth="1"/>
    <col min="11255" max="11255" width="17.140625" style="1" customWidth="1"/>
    <col min="11256" max="11256" width="13" style="1" customWidth="1"/>
    <col min="11257" max="11257" width="27" style="1" customWidth="1"/>
    <col min="11258" max="11258" width="11.140625" style="1" customWidth="1"/>
    <col min="11259" max="11259" width="24.7109375" style="1" customWidth="1"/>
    <col min="11260" max="11260" width="13.140625" style="1" customWidth="1"/>
    <col min="11261" max="11261" width="14" style="1" customWidth="1"/>
    <col min="11262" max="11262" width="17.140625" style="1" customWidth="1"/>
    <col min="11263" max="11263" width="15.7109375" style="1" customWidth="1"/>
    <col min="11264" max="11264" width="17.85546875" style="1" customWidth="1"/>
    <col min="11265" max="11265" width="21.7109375" style="1" customWidth="1"/>
    <col min="11266" max="11266" width="22.7109375" style="1" customWidth="1"/>
    <col min="11267" max="11267" width="1.7109375" style="1" customWidth="1"/>
    <col min="11268" max="11268" width="14.28515625" style="1" customWidth="1"/>
    <col min="11269" max="11269" width="22.7109375" style="1" customWidth="1"/>
    <col min="11270" max="11275" width="30.7109375" style="1" customWidth="1"/>
    <col min="11276" max="11276" width="22.7109375" style="1" customWidth="1"/>
    <col min="11277" max="11278" width="18.7109375" style="1" customWidth="1"/>
    <col min="11279" max="11279" width="26.28515625" style="1" customWidth="1"/>
    <col min="11280" max="11280" width="17.28515625" style="1" customWidth="1"/>
    <col min="11281" max="11281" width="15.7109375" style="1" customWidth="1"/>
    <col min="11282" max="11506" width="9.140625" style="1"/>
    <col min="11507" max="11507" width="2" style="1" customWidth="1"/>
    <col min="11508" max="11508" width="27.7109375" style="1" customWidth="1"/>
    <col min="11509" max="11509" width="1.7109375" style="1" customWidth="1"/>
    <col min="11510" max="11510" width="16.140625" style="1" customWidth="1"/>
    <col min="11511" max="11511" width="17.140625" style="1" customWidth="1"/>
    <col min="11512" max="11512" width="13" style="1" customWidth="1"/>
    <col min="11513" max="11513" width="27" style="1" customWidth="1"/>
    <col min="11514" max="11514" width="11.140625" style="1" customWidth="1"/>
    <col min="11515" max="11515" width="24.7109375" style="1" customWidth="1"/>
    <col min="11516" max="11516" width="13.140625" style="1" customWidth="1"/>
    <col min="11517" max="11517" width="14" style="1" customWidth="1"/>
    <col min="11518" max="11518" width="17.140625" style="1" customWidth="1"/>
    <col min="11519" max="11519" width="15.7109375" style="1" customWidth="1"/>
    <col min="11520" max="11520" width="17.85546875" style="1" customWidth="1"/>
    <col min="11521" max="11521" width="21.7109375" style="1" customWidth="1"/>
    <col min="11522" max="11522" width="22.7109375" style="1" customWidth="1"/>
    <col min="11523" max="11523" width="1.7109375" style="1" customWidth="1"/>
    <col min="11524" max="11524" width="14.28515625" style="1" customWidth="1"/>
    <col min="11525" max="11525" width="22.7109375" style="1" customWidth="1"/>
    <col min="11526" max="11531" width="30.7109375" style="1" customWidth="1"/>
    <col min="11532" max="11532" width="22.7109375" style="1" customWidth="1"/>
    <col min="11533" max="11534" width="18.7109375" style="1" customWidth="1"/>
    <col min="11535" max="11535" width="26.28515625" style="1" customWidth="1"/>
    <col min="11536" max="11536" width="17.28515625" style="1" customWidth="1"/>
    <col min="11537" max="11537" width="15.7109375" style="1" customWidth="1"/>
    <col min="11538" max="11762" width="9.140625" style="1"/>
    <col min="11763" max="11763" width="2" style="1" customWidth="1"/>
    <col min="11764" max="11764" width="27.7109375" style="1" customWidth="1"/>
    <col min="11765" max="11765" width="1.7109375" style="1" customWidth="1"/>
    <col min="11766" max="11766" width="16.140625" style="1" customWidth="1"/>
    <col min="11767" max="11767" width="17.140625" style="1" customWidth="1"/>
    <col min="11768" max="11768" width="13" style="1" customWidth="1"/>
    <col min="11769" max="11769" width="27" style="1" customWidth="1"/>
    <col min="11770" max="11770" width="11.140625" style="1" customWidth="1"/>
    <col min="11771" max="11771" width="24.7109375" style="1" customWidth="1"/>
    <col min="11772" max="11772" width="13.140625" style="1" customWidth="1"/>
    <col min="11773" max="11773" width="14" style="1" customWidth="1"/>
    <col min="11774" max="11774" width="17.140625" style="1" customWidth="1"/>
    <col min="11775" max="11775" width="15.7109375" style="1" customWidth="1"/>
    <col min="11776" max="11776" width="17.85546875" style="1" customWidth="1"/>
    <col min="11777" max="11777" width="21.7109375" style="1" customWidth="1"/>
    <col min="11778" max="11778" width="22.7109375" style="1" customWidth="1"/>
    <col min="11779" max="11779" width="1.7109375" style="1" customWidth="1"/>
    <col min="11780" max="11780" width="14.28515625" style="1" customWidth="1"/>
    <col min="11781" max="11781" width="22.7109375" style="1" customWidth="1"/>
    <col min="11782" max="11787" width="30.7109375" style="1" customWidth="1"/>
    <col min="11788" max="11788" width="22.7109375" style="1" customWidth="1"/>
    <col min="11789" max="11790" width="18.7109375" style="1" customWidth="1"/>
    <col min="11791" max="11791" width="26.28515625" style="1" customWidth="1"/>
    <col min="11792" max="11792" width="17.28515625" style="1" customWidth="1"/>
    <col min="11793" max="11793" width="15.7109375" style="1" customWidth="1"/>
    <col min="11794" max="12018" width="9.140625" style="1"/>
    <col min="12019" max="12019" width="2" style="1" customWidth="1"/>
    <col min="12020" max="12020" width="27.7109375" style="1" customWidth="1"/>
    <col min="12021" max="12021" width="1.7109375" style="1" customWidth="1"/>
    <col min="12022" max="12022" width="16.140625" style="1" customWidth="1"/>
    <col min="12023" max="12023" width="17.140625" style="1" customWidth="1"/>
    <col min="12024" max="12024" width="13" style="1" customWidth="1"/>
    <col min="12025" max="12025" width="27" style="1" customWidth="1"/>
    <col min="12026" max="12026" width="11.140625" style="1" customWidth="1"/>
    <col min="12027" max="12027" width="24.7109375" style="1" customWidth="1"/>
    <col min="12028" max="12028" width="13.140625" style="1" customWidth="1"/>
    <col min="12029" max="12029" width="14" style="1" customWidth="1"/>
    <col min="12030" max="12030" width="17.140625" style="1" customWidth="1"/>
    <col min="12031" max="12031" width="15.7109375" style="1" customWidth="1"/>
    <col min="12032" max="12032" width="17.85546875" style="1" customWidth="1"/>
    <col min="12033" max="12033" width="21.7109375" style="1" customWidth="1"/>
    <col min="12034" max="12034" width="22.7109375" style="1" customWidth="1"/>
    <col min="12035" max="12035" width="1.7109375" style="1" customWidth="1"/>
    <col min="12036" max="12036" width="14.28515625" style="1" customWidth="1"/>
    <col min="12037" max="12037" width="22.7109375" style="1" customWidth="1"/>
    <col min="12038" max="12043" width="30.7109375" style="1" customWidth="1"/>
    <col min="12044" max="12044" width="22.7109375" style="1" customWidth="1"/>
    <col min="12045" max="12046" width="18.7109375" style="1" customWidth="1"/>
    <col min="12047" max="12047" width="26.28515625" style="1" customWidth="1"/>
    <col min="12048" max="12048" width="17.28515625" style="1" customWidth="1"/>
    <col min="12049" max="12049" width="15.7109375" style="1" customWidth="1"/>
    <col min="12050" max="12274" width="9.140625" style="1"/>
    <col min="12275" max="12275" width="2" style="1" customWidth="1"/>
    <col min="12276" max="12276" width="27.7109375" style="1" customWidth="1"/>
    <col min="12277" max="12277" width="1.7109375" style="1" customWidth="1"/>
    <col min="12278" max="12278" width="16.140625" style="1" customWidth="1"/>
    <col min="12279" max="12279" width="17.140625" style="1" customWidth="1"/>
    <col min="12280" max="12280" width="13" style="1" customWidth="1"/>
    <col min="12281" max="12281" width="27" style="1" customWidth="1"/>
    <col min="12282" max="12282" width="11.140625" style="1" customWidth="1"/>
    <col min="12283" max="12283" width="24.7109375" style="1" customWidth="1"/>
    <col min="12284" max="12284" width="13.140625" style="1" customWidth="1"/>
    <col min="12285" max="12285" width="14" style="1" customWidth="1"/>
    <col min="12286" max="12286" width="17.140625" style="1" customWidth="1"/>
    <col min="12287" max="12287" width="15.7109375" style="1" customWidth="1"/>
    <col min="12288" max="12288" width="17.85546875" style="1" customWidth="1"/>
    <col min="12289" max="12289" width="21.7109375" style="1" customWidth="1"/>
    <col min="12290" max="12290" width="22.7109375" style="1" customWidth="1"/>
    <col min="12291" max="12291" width="1.7109375" style="1" customWidth="1"/>
    <col min="12292" max="12292" width="14.28515625" style="1" customWidth="1"/>
    <col min="12293" max="12293" width="22.7109375" style="1" customWidth="1"/>
    <col min="12294" max="12299" width="30.7109375" style="1" customWidth="1"/>
    <col min="12300" max="12300" width="22.7109375" style="1" customWidth="1"/>
    <col min="12301" max="12302" width="18.7109375" style="1" customWidth="1"/>
    <col min="12303" max="12303" width="26.28515625" style="1" customWidth="1"/>
    <col min="12304" max="12304" width="17.28515625" style="1" customWidth="1"/>
    <col min="12305" max="12305" width="15.7109375" style="1" customWidth="1"/>
    <col min="12306" max="12530" width="9.140625" style="1"/>
    <col min="12531" max="12531" width="2" style="1" customWidth="1"/>
    <col min="12532" max="12532" width="27.7109375" style="1" customWidth="1"/>
    <col min="12533" max="12533" width="1.7109375" style="1" customWidth="1"/>
    <col min="12534" max="12534" width="16.140625" style="1" customWidth="1"/>
    <col min="12535" max="12535" width="17.140625" style="1" customWidth="1"/>
    <col min="12536" max="12536" width="13" style="1" customWidth="1"/>
    <col min="12537" max="12537" width="27" style="1" customWidth="1"/>
    <col min="12538" max="12538" width="11.140625" style="1" customWidth="1"/>
    <col min="12539" max="12539" width="24.7109375" style="1" customWidth="1"/>
    <col min="12540" max="12540" width="13.140625" style="1" customWidth="1"/>
    <col min="12541" max="12541" width="14" style="1" customWidth="1"/>
    <col min="12542" max="12542" width="17.140625" style="1" customWidth="1"/>
    <col min="12543" max="12543" width="15.7109375" style="1" customWidth="1"/>
    <col min="12544" max="12544" width="17.85546875" style="1" customWidth="1"/>
    <col min="12545" max="12545" width="21.7109375" style="1" customWidth="1"/>
    <col min="12546" max="12546" width="22.7109375" style="1" customWidth="1"/>
    <col min="12547" max="12547" width="1.7109375" style="1" customWidth="1"/>
    <col min="12548" max="12548" width="14.28515625" style="1" customWidth="1"/>
    <col min="12549" max="12549" width="22.7109375" style="1" customWidth="1"/>
    <col min="12550" max="12555" width="30.7109375" style="1" customWidth="1"/>
    <col min="12556" max="12556" width="22.7109375" style="1" customWidth="1"/>
    <col min="12557" max="12558" width="18.7109375" style="1" customWidth="1"/>
    <col min="12559" max="12559" width="26.28515625" style="1" customWidth="1"/>
    <col min="12560" max="12560" width="17.28515625" style="1" customWidth="1"/>
    <col min="12561" max="12561" width="15.7109375" style="1" customWidth="1"/>
    <col min="12562" max="12786" width="9.140625" style="1"/>
    <col min="12787" max="12787" width="2" style="1" customWidth="1"/>
    <col min="12788" max="12788" width="27.7109375" style="1" customWidth="1"/>
    <col min="12789" max="12789" width="1.7109375" style="1" customWidth="1"/>
    <col min="12790" max="12790" width="16.140625" style="1" customWidth="1"/>
    <col min="12791" max="12791" width="17.140625" style="1" customWidth="1"/>
    <col min="12792" max="12792" width="13" style="1" customWidth="1"/>
    <col min="12793" max="12793" width="27" style="1" customWidth="1"/>
    <col min="12794" max="12794" width="11.140625" style="1" customWidth="1"/>
    <col min="12795" max="12795" width="24.7109375" style="1" customWidth="1"/>
    <col min="12796" max="12796" width="13.140625" style="1" customWidth="1"/>
    <col min="12797" max="12797" width="14" style="1" customWidth="1"/>
    <col min="12798" max="12798" width="17.140625" style="1" customWidth="1"/>
    <col min="12799" max="12799" width="15.7109375" style="1" customWidth="1"/>
    <col min="12800" max="12800" width="17.85546875" style="1" customWidth="1"/>
    <col min="12801" max="12801" width="21.7109375" style="1" customWidth="1"/>
    <col min="12802" max="12802" width="22.7109375" style="1" customWidth="1"/>
    <col min="12803" max="12803" width="1.7109375" style="1" customWidth="1"/>
    <col min="12804" max="12804" width="14.28515625" style="1" customWidth="1"/>
    <col min="12805" max="12805" width="22.7109375" style="1" customWidth="1"/>
    <col min="12806" max="12811" width="30.7109375" style="1" customWidth="1"/>
    <col min="12812" max="12812" width="22.7109375" style="1" customWidth="1"/>
    <col min="12813" max="12814" width="18.7109375" style="1" customWidth="1"/>
    <col min="12815" max="12815" width="26.28515625" style="1" customWidth="1"/>
    <col min="12816" max="12816" width="17.28515625" style="1" customWidth="1"/>
    <col min="12817" max="12817" width="15.7109375" style="1" customWidth="1"/>
    <col min="12818" max="13042" width="9.140625" style="1"/>
    <col min="13043" max="13043" width="2" style="1" customWidth="1"/>
    <col min="13044" max="13044" width="27.7109375" style="1" customWidth="1"/>
    <col min="13045" max="13045" width="1.7109375" style="1" customWidth="1"/>
    <col min="13046" max="13046" width="16.140625" style="1" customWidth="1"/>
    <col min="13047" max="13047" width="17.140625" style="1" customWidth="1"/>
    <col min="13048" max="13048" width="13" style="1" customWidth="1"/>
    <col min="13049" max="13049" width="27" style="1" customWidth="1"/>
    <col min="13050" max="13050" width="11.140625" style="1" customWidth="1"/>
    <col min="13051" max="13051" width="24.7109375" style="1" customWidth="1"/>
    <col min="13052" max="13052" width="13.140625" style="1" customWidth="1"/>
    <col min="13053" max="13053" width="14" style="1" customWidth="1"/>
    <col min="13054" max="13054" width="17.140625" style="1" customWidth="1"/>
    <col min="13055" max="13055" width="15.7109375" style="1" customWidth="1"/>
    <col min="13056" max="13056" width="17.85546875" style="1" customWidth="1"/>
    <col min="13057" max="13057" width="21.7109375" style="1" customWidth="1"/>
    <col min="13058" max="13058" width="22.7109375" style="1" customWidth="1"/>
    <col min="13059" max="13059" width="1.7109375" style="1" customWidth="1"/>
    <col min="13060" max="13060" width="14.28515625" style="1" customWidth="1"/>
    <col min="13061" max="13061" width="22.7109375" style="1" customWidth="1"/>
    <col min="13062" max="13067" width="30.7109375" style="1" customWidth="1"/>
    <col min="13068" max="13068" width="22.7109375" style="1" customWidth="1"/>
    <col min="13069" max="13070" width="18.7109375" style="1" customWidth="1"/>
    <col min="13071" max="13071" width="26.28515625" style="1" customWidth="1"/>
    <col min="13072" max="13072" width="17.28515625" style="1" customWidth="1"/>
    <col min="13073" max="13073" width="15.7109375" style="1" customWidth="1"/>
    <col min="13074" max="13298" width="9.140625" style="1"/>
    <col min="13299" max="13299" width="2" style="1" customWidth="1"/>
    <col min="13300" max="13300" width="27.7109375" style="1" customWidth="1"/>
    <col min="13301" max="13301" width="1.7109375" style="1" customWidth="1"/>
    <col min="13302" max="13302" width="16.140625" style="1" customWidth="1"/>
    <col min="13303" max="13303" width="17.140625" style="1" customWidth="1"/>
    <col min="13304" max="13304" width="13" style="1" customWidth="1"/>
    <col min="13305" max="13305" width="27" style="1" customWidth="1"/>
    <col min="13306" max="13306" width="11.140625" style="1" customWidth="1"/>
    <col min="13307" max="13307" width="24.7109375" style="1" customWidth="1"/>
    <col min="13308" max="13308" width="13.140625" style="1" customWidth="1"/>
    <col min="13309" max="13309" width="14" style="1" customWidth="1"/>
    <col min="13310" max="13310" width="17.140625" style="1" customWidth="1"/>
    <col min="13311" max="13311" width="15.7109375" style="1" customWidth="1"/>
    <col min="13312" max="13312" width="17.85546875" style="1" customWidth="1"/>
    <col min="13313" max="13313" width="21.7109375" style="1" customWidth="1"/>
    <col min="13314" max="13314" width="22.7109375" style="1" customWidth="1"/>
    <col min="13315" max="13315" width="1.7109375" style="1" customWidth="1"/>
    <col min="13316" max="13316" width="14.28515625" style="1" customWidth="1"/>
    <col min="13317" max="13317" width="22.7109375" style="1" customWidth="1"/>
    <col min="13318" max="13323" width="30.7109375" style="1" customWidth="1"/>
    <col min="13324" max="13324" width="22.7109375" style="1" customWidth="1"/>
    <col min="13325" max="13326" width="18.7109375" style="1" customWidth="1"/>
    <col min="13327" max="13327" width="26.28515625" style="1" customWidth="1"/>
    <col min="13328" max="13328" width="17.28515625" style="1" customWidth="1"/>
    <col min="13329" max="13329" width="15.7109375" style="1" customWidth="1"/>
    <col min="13330" max="13554" width="9.140625" style="1"/>
    <col min="13555" max="13555" width="2" style="1" customWidth="1"/>
    <col min="13556" max="13556" width="27.7109375" style="1" customWidth="1"/>
    <col min="13557" max="13557" width="1.7109375" style="1" customWidth="1"/>
    <col min="13558" max="13558" width="16.140625" style="1" customWidth="1"/>
    <col min="13559" max="13559" width="17.140625" style="1" customWidth="1"/>
    <col min="13560" max="13560" width="13" style="1" customWidth="1"/>
    <col min="13561" max="13561" width="27" style="1" customWidth="1"/>
    <col min="13562" max="13562" width="11.140625" style="1" customWidth="1"/>
    <col min="13563" max="13563" width="24.7109375" style="1" customWidth="1"/>
    <col min="13564" max="13564" width="13.140625" style="1" customWidth="1"/>
    <col min="13565" max="13565" width="14" style="1" customWidth="1"/>
    <col min="13566" max="13566" width="17.140625" style="1" customWidth="1"/>
    <col min="13567" max="13567" width="15.7109375" style="1" customWidth="1"/>
    <col min="13568" max="13568" width="17.85546875" style="1" customWidth="1"/>
    <col min="13569" max="13569" width="21.7109375" style="1" customWidth="1"/>
    <col min="13570" max="13570" width="22.7109375" style="1" customWidth="1"/>
    <col min="13571" max="13571" width="1.7109375" style="1" customWidth="1"/>
    <col min="13572" max="13572" width="14.28515625" style="1" customWidth="1"/>
    <col min="13573" max="13573" width="22.7109375" style="1" customWidth="1"/>
    <col min="13574" max="13579" width="30.7109375" style="1" customWidth="1"/>
    <col min="13580" max="13580" width="22.7109375" style="1" customWidth="1"/>
    <col min="13581" max="13582" width="18.7109375" style="1" customWidth="1"/>
    <col min="13583" max="13583" width="26.28515625" style="1" customWidth="1"/>
    <col min="13584" max="13584" width="17.28515625" style="1" customWidth="1"/>
    <col min="13585" max="13585" width="15.7109375" style="1" customWidth="1"/>
    <col min="13586" max="13810" width="9.140625" style="1"/>
    <col min="13811" max="13811" width="2" style="1" customWidth="1"/>
    <col min="13812" max="13812" width="27.7109375" style="1" customWidth="1"/>
    <col min="13813" max="13813" width="1.7109375" style="1" customWidth="1"/>
    <col min="13814" max="13814" width="16.140625" style="1" customWidth="1"/>
    <col min="13815" max="13815" width="17.140625" style="1" customWidth="1"/>
    <col min="13816" max="13816" width="13" style="1" customWidth="1"/>
    <col min="13817" max="13817" width="27" style="1" customWidth="1"/>
    <col min="13818" max="13818" width="11.140625" style="1" customWidth="1"/>
    <col min="13819" max="13819" width="24.7109375" style="1" customWidth="1"/>
    <col min="13820" max="13820" width="13.140625" style="1" customWidth="1"/>
    <col min="13821" max="13821" width="14" style="1" customWidth="1"/>
    <col min="13822" max="13822" width="17.140625" style="1" customWidth="1"/>
    <col min="13823" max="13823" width="15.7109375" style="1" customWidth="1"/>
    <col min="13824" max="13824" width="17.85546875" style="1" customWidth="1"/>
    <col min="13825" max="13825" width="21.7109375" style="1" customWidth="1"/>
    <col min="13826" max="13826" width="22.7109375" style="1" customWidth="1"/>
    <col min="13827" max="13827" width="1.7109375" style="1" customWidth="1"/>
    <col min="13828" max="13828" width="14.28515625" style="1" customWidth="1"/>
    <col min="13829" max="13829" width="22.7109375" style="1" customWidth="1"/>
    <col min="13830" max="13835" width="30.7109375" style="1" customWidth="1"/>
    <col min="13836" max="13836" width="22.7109375" style="1" customWidth="1"/>
    <col min="13837" max="13838" width="18.7109375" style="1" customWidth="1"/>
    <col min="13839" max="13839" width="26.28515625" style="1" customWidth="1"/>
    <col min="13840" max="13840" width="17.28515625" style="1" customWidth="1"/>
    <col min="13841" max="13841" width="15.7109375" style="1" customWidth="1"/>
    <col min="13842" max="14066" width="9.140625" style="1"/>
    <col min="14067" max="14067" width="2" style="1" customWidth="1"/>
    <col min="14068" max="14068" width="27.7109375" style="1" customWidth="1"/>
    <col min="14069" max="14069" width="1.7109375" style="1" customWidth="1"/>
    <col min="14070" max="14070" width="16.140625" style="1" customWidth="1"/>
    <col min="14071" max="14071" width="17.140625" style="1" customWidth="1"/>
    <col min="14072" max="14072" width="13" style="1" customWidth="1"/>
    <col min="14073" max="14073" width="27" style="1" customWidth="1"/>
    <col min="14074" max="14074" width="11.140625" style="1" customWidth="1"/>
    <col min="14075" max="14075" width="24.7109375" style="1" customWidth="1"/>
    <col min="14076" max="14076" width="13.140625" style="1" customWidth="1"/>
    <col min="14077" max="14077" width="14" style="1" customWidth="1"/>
    <col min="14078" max="14078" width="17.140625" style="1" customWidth="1"/>
    <col min="14079" max="14079" width="15.7109375" style="1" customWidth="1"/>
    <col min="14080" max="14080" width="17.85546875" style="1" customWidth="1"/>
    <col min="14081" max="14081" width="21.7109375" style="1" customWidth="1"/>
    <col min="14082" max="14082" width="22.7109375" style="1" customWidth="1"/>
    <col min="14083" max="14083" width="1.7109375" style="1" customWidth="1"/>
    <col min="14084" max="14084" width="14.28515625" style="1" customWidth="1"/>
    <col min="14085" max="14085" width="22.7109375" style="1" customWidth="1"/>
    <col min="14086" max="14091" width="30.7109375" style="1" customWidth="1"/>
    <col min="14092" max="14092" width="22.7109375" style="1" customWidth="1"/>
    <col min="14093" max="14094" width="18.7109375" style="1" customWidth="1"/>
    <col min="14095" max="14095" width="26.28515625" style="1" customWidth="1"/>
    <col min="14096" max="14096" width="17.28515625" style="1" customWidth="1"/>
    <col min="14097" max="14097" width="15.7109375" style="1" customWidth="1"/>
    <col min="14098" max="14322" width="9.140625" style="1"/>
    <col min="14323" max="14323" width="2" style="1" customWidth="1"/>
    <col min="14324" max="14324" width="27.7109375" style="1" customWidth="1"/>
    <col min="14325" max="14325" width="1.7109375" style="1" customWidth="1"/>
    <col min="14326" max="14326" width="16.140625" style="1" customWidth="1"/>
    <col min="14327" max="14327" width="17.140625" style="1" customWidth="1"/>
    <col min="14328" max="14328" width="13" style="1" customWidth="1"/>
    <col min="14329" max="14329" width="27" style="1" customWidth="1"/>
    <col min="14330" max="14330" width="11.140625" style="1" customWidth="1"/>
    <col min="14331" max="14331" width="24.7109375" style="1" customWidth="1"/>
    <col min="14332" max="14332" width="13.140625" style="1" customWidth="1"/>
    <col min="14333" max="14333" width="14" style="1" customWidth="1"/>
    <col min="14334" max="14334" width="17.140625" style="1" customWidth="1"/>
    <col min="14335" max="14335" width="15.7109375" style="1" customWidth="1"/>
    <col min="14336" max="14336" width="17.85546875" style="1" customWidth="1"/>
    <col min="14337" max="14337" width="21.7109375" style="1" customWidth="1"/>
    <col min="14338" max="14338" width="22.7109375" style="1" customWidth="1"/>
    <col min="14339" max="14339" width="1.7109375" style="1" customWidth="1"/>
    <col min="14340" max="14340" width="14.28515625" style="1" customWidth="1"/>
    <col min="14341" max="14341" width="22.7109375" style="1" customWidth="1"/>
    <col min="14342" max="14347" width="30.7109375" style="1" customWidth="1"/>
    <col min="14348" max="14348" width="22.7109375" style="1" customWidth="1"/>
    <col min="14349" max="14350" width="18.7109375" style="1" customWidth="1"/>
    <col min="14351" max="14351" width="26.28515625" style="1" customWidth="1"/>
    <col min="14352" max="14352" width="17.28515625" style="1" customWidth="1"/>
    <col min="14353" max="14353" width="15.7109375" style="1" customWidth="1"/>
    <col min="14354" max="14578" width="9.140625" style="1"/>
    <col min="14579" max="14579" width="2" style="1" customWidth="1"/>
    <col min="14580" max="14580" width="27.7109375" style="1" customWidth="1"/>
    <col min="14581" max="14581" width="1.7109375" style="1" customWidth="1"/>
    <col min="14582" max="14582" width="16.140625" style="1" customWidth="1"/>
    <col min="14583" max="14583" width="17.140625" style="1" customWidth="1"/>
    <col min="14584" max="14584" width="13" style="1" customWidth="1"/>
    <col min="14585" max="14585" width="27" style="1" customWidth="1"/>
    <col min="14586" max="14586" width="11.140625" style="1" customWidth="1"/>
    <col min="14587" max="14587" width="24.7109375" style="1" customWidth="1"/>
    <col min="14588" max="14588" width="13.140625" style="1" customWidth="1"/>
    <col min="14589" max="14589" width="14" style="1" customWidth="1"/>
    <col min="14590" max="14590" width="17.140625" style="1" customWidth="1"/>
    <col min="14591" max="14591" width="15.7109375" style="1" customWidth="1"/>
    <col min="14592" max="14592" width="17.85546875" style="1" customWidth="1"/>
    <col min="14593" max="14593" width="21.7109375" style="1" customWidth="1"/>
    <col min="14594" max="14594" width="22.7109375" style="1" customWidth="1"/>
    <col min="14595" max="14595" width="1.7109375" style="1" customWidth="1"/>
    <col min="14596" max="14596" width="14.28515625" style="1" customWidth="1"/>
    <col min="14597" max="14597" width="22.7109375" style="1" customWidth="1"/>
    <col min="14598" max="14603" width="30.7109375" style="1" customWidth="1"/>
    <col min="14604" max="14604" width="22.7109375" style="1" customWidth="1"/>
    <col min="14605" max="14606" width="18.7109375" style="1" customWidth="1"/>
    <col min="14607" max="14607" width="26.28515625" style="1" customWidth="1"/>
    <col min="14608" max="14608" width="17.28515625" style="1" customWidth="1"/>
    <col min="14609" max="14609" width="15.7109375" style="1" customWidth="1"/>
    <col min="14610" max="14834" width="9.140625" style="1"/>
    <col min="14835" max="14835" width="2" style="1" customWidth="1"/>
    <col min="14836" max="14836" width="27.7109375" style="1" customWidth="1"/>
    <col min="14837" max="14837" width="1.7109375" style="1" customWidth="1"/>
    <col min="14838" max="14838" width="16.140625" style="1" customWidth="1"/>
    <col min="14839" max="14839" width="17.140625" style="1" customWidth="1"/>
    <col min="14840" max="14840" width="13" style="1" customWidth="1"/>
    <col min="14841" max="14841" width="27" style="1" customWidth="1"/>
    <col min="14842" max="14842" width="11.140625" style="1" customWidth="1"/>
    <col min="14843" max="14843" width="24.7109375" style="1" customWidth="1"/>
    <col min="14844" max="14844" width="13.140625" style="1" customWidth="1"/>
    <col min="14845" max="14845" width="14" style="1" customWidth="1"/>
    <col min="14846" max="14846" width="17.140625" style="1" customWidth="1"/>
    <col min="14847" max="14847" width="15.7109375" style="1" customWidth="1"/>
    <col min="14848" max="14848" width="17.85546875" style="1" customWidth="1"/>
    <col min="14849" max="14849" width="21.7109375" style="1" customWidth="1"/>
    <col min="14850" max="14850" width="22.7109375" style="1" customWidth="1"/>
    <col min="14851" max="14851" width="1.7109375" style="1" customWidth="1"/>
    <col min="14852" max="14852" width="14.28515625" style="1" customWidth="1"/>
    <col min="14853" max="14853" width="22.7109375" style="1" customWidth="1"/>
    <col min="14854" max="14859" width="30.7109375" style="1" customWidth="1"/>
    <col min="14860" max="14860" width="22.7109375" style="1" customWidth="1"/>
    <col min="14861" max="14862" width="18.7109375" style="1" customWidth="1"/>
    <col min="14863" max="14863" width="26.28515625" style="1" customWidth="1"/>
    <col min="14864" max="14864" width="17.28515625" style="1" customWidth="1"/>
    <col min="14865" max="14865" width="15.7109375" style="1" customWidth="1"/>
    <col min="14866" max="15090" width="9.140625" style="1"/>
    <col min="15091" max="15091" width="2" style="1" customWidth="1"/>
    <col min="15092" max="15092" width="27.7109375" style="1" customWidth="1"/>
    <col min="15093" max="15093" width="1.7109375" style="1" customWidth="1"/>
    <col min="15094" max="15094" width="16.140625" style="1" customWidth="1"/>
    <col min="15095" max="15095" width="17.140625" style="1" customWidth="1"/>
    <col min="15096" max="15096" width="13" style="1" customWidth="1"/>
    <col min="15097" max="15097" width="27" style="1" customWidth="1"/>
    <col min="15098" max="15098" width="11.140625" style="1" customWidth="1"/>
    <col min="15099" max="15099" width="24.7109375" style="1" customWidth="1"/>
    <col min="15100" max="15100" width="13.140625" style="1" customWidth="1"/>
    <col min="15101" max="15101" width="14" style="1" customWidth="1"/>
    <col min="15102" max="15102" width="17.140625" style="1" customWidth="1"/>
    <col min="15103" max="15103" width="15.7109375" style="1" customWidth="1"/>
    <col min="15104" max="15104" width="17.85546875" style="1" customWidth="1"/>
    <col min="15105" max="15105" width="21.7109375" style="1" customWidth="1"/>
    <col min="15106" max="15106" width="22.7109375" style="1" customWidth="1"/>
    <col min="15107" max="15107" width="1.7109375" style="1" customWidth="1"/>
    <col min="15108" max="15108" width="14.28515625" style="1" customWidth="1"/>
    <col min="15109" max="15109" width="22.7109375" style="1" customWidth="1"/>
    <col min="15110" max="15115" width="30.7109375" style="1" customWidth="1"/>
    <col min="15116" max="15116" width="22.7109375" style="1" customWidth="1"/>
    <col min="15117" max="15118" width="18.7109375" style="1" customWidth="1"/>
    <col min="15119" max="15119" width="26.28515625" style="1" customWidth="1"/>
    <col min="15120" max="15120" width="17.28515625" style="1" customWidth="1"/>
    <col min="15121" max="15121" width="15.7109375" style="1" customWidth="1"/>
    <col min="15122" max="15346" width="9.140625" style="1"/>
    <col min="15347" max="15347" width="2" style="1" customWidth="1"/>
    <col min="15348" max="15348" width="27.7109375" style="1" customWidth="1"/>
    <col min="15349" max="15349" width="1.7109375" style="1" customWidth="1"/>
    <col min="15350" max="15350" width="16.140625" style="1" customWidth="1"/>
    <col min="15351" max="15351" width="17.140625" style="1" customWidth="1"/>
    <col min="15352" max="15352" width="13" style="1" customWidth="1"/>
    <col min="15353" max="15353" width="27" style="1" customWidth="1"/>
    <col min="15354" max="15354" width="11.140625" style="1" customWidth="1"/>
    <col min="15355" max="15355" width="24.7109375" style="1" customWidth="1"/>
    <col min="15356" max="15356" width="13.140625" style="1" customWidth="1"/>
    <col min="15357" max="15357" width="14" style="1" customWidth="1"/>
    <col min="15358" max="15358" width="17.140625" style="1" customWidth="1"/>
    <col min="15359" max="15359" width="15.7109375" style="1" customWidth="1"/>
    <col min="15360" max="15360" width="17.85546875" style="1" customWidth="1"/>
    <col min="15361" max="15361" width="21.7109375" style="1" customWidth="1"/>
    <col min="15362" max="15362" width="22.7109375" style="1" customWidth="1"/>
    <col min="15363" max="15363" width="1.7109375" style="1" customWidth="1"/>
    <col min="15364" max="15364" width="14.28515625" style="1" customWidth="1"/>
    <col min="15365" max="15365" width="22.7109375" style="1" customWidth="1"/>
    <col min="15366" max="15371" width="30.7109375" style="1" customWidth="1"/>
    <col min="15372" max="15372" width="22.7109375" style="1" customWidth="1"/>
    <col min="15373" max="15374" width="18.7109375" style="1" customWidth="1"/>
    <col min="15375" max="15375" width="26.28515625" style="1" customWidth="1"/>
    <col min="15376" max="15376" width="17.28515625" style="1" customWidth="1"/>
    <col min="15377" max="15377" width="15.7109375" style="1" customWidth="1"/>
    <col min="15378" max="15602" width="9.140625" style="1"/>
    <col min="15603" max="15603" width="2" style="1" customWidth="1"/>
    <col min="15604" max="15604" width="27.7109375" style="1" customWidth="1"/>
    <col min="15605" max="15605" width="1.7109375" style="1" customWidth="1"/>
    <col min="15606" max="15606" width="16.140625" style="1" customWidth="1"/>
    <col min="15607" max="15607" width="17.140625" style="1" customWidth="1"/>
    <col min="15608" max="15608" width="13" style="1" customWidth="1"/>
    <col min="15609" max="15609" width="27" style="1" customWidth="1"/>
    <col min="15610" max="15610" width="11.140625" style="1" customWidth="1"/>
    <col min="15611" max="15611" width="24.7109375" style="1" customWidth="1"/>
    <col min="15612" max="15612" width="13.140625" style="1" customWidth="1"/>
    <col min="15613" max="15613" width="14" style="1" customWidth="1"/>
    <col min="15614" max="15614" width="17.140625" style="1" customWidth="1"/>
    <col min="15615" max="15615" width="15.7109375" style="1" customWidth="1"/>
    <col min="15616" max="15616" width="17.85546875" style="1" customWidth="1"/>
    <col min="15617" max="15617" width="21.7109375" style="1" customWidth="1"/>
    <col min="15618" max="15618" width="22.7109375" style="1" customWidth="1"/>
    <col min="15619" max="15619" width="1.7109375" style="1" customWidth="1"/>
    <col min="15620" max="15620" width="14.28515625" style="1" customWidth="1"/>
    <col min="15621" max="15621" width="22.7109375" style="1" customWidth="1"/>
    <col min="15622" max="15627" width="30.7109375" style="1" customWidth="1"/>
    <col min="15628" max="15628" width="22.7109375" style="1" customWidth="1"/>
    <col min="15629" max="15630" width="18.7109375" style="1" customWidth="1"/>
    <col min="15631" max="15631" width="26.28515625" style="1" customWidth="1"/>
    <col min="15632" max="15632" width="17.28515625" style="1" customWidth="1"/>
    <col min="15633" max="15633" width="15.7109375" style="1" customWidth="1"/>
    <col min="15634" max="15858" width="9.140625" style="1"/>
    <col min="15859" max="15859" width="2" style="1" customWidth="1"/>
    <col min="15860" max="15860" width="27.7109375" style="1" customWidth="1"/>
    <col min="15861" max="15861" width="1.7109375" style="1" customWidth="1"/>
    <col min="15862" max="15862" width="16.140625" style="1" customWidth="1"/>
    <col min="15863" max="15863" width="17.140625" style="1" customWidth="1"/>
    <col min="15864" max="15864" width="13" style="1" customWidth="1"/>
    <col min="15865" max="15865" width="27" style="1" customWidth="1"/>
    <col min="15866" max="15866" width="11.140625" style="1" customWidth="1"/>
    <col min="15867" max="15867" width="24.7109375" style="1" customWidth="1"/>
    <col min="15868" max="15868" width="13.140625" style="1" customWidth="1"/>
    <col min="15869" max="15869" width="14" style="1" customWidth="1"/>
    <col min="15870" max="15870" width="17.140625" style="1" customWidth="1"/>
    <col min="15871" max="15871" width="15.7109375" style="1" customWidth="1"/>
    <col min="15872" max="15872" width="17.85546875" style="1" customWidth="1"/>
    <col min="15873" max="15873" width="21.7109375" style="1" customWidth="1"/>
    <col min="15874" max="15874" width="22.7109375" style="1" customWidth="1"/>
    <col min="15875" max="15875" width="1.7109375" style="1" customWidth="1"/>
    <col min="15876" max="15876" width="14.28515625" style="1" customWidth="1"/>
    <col min="15877" max="15877" width="22.7109375" style="1" customWidth="1"/>
    <col min="15878" max="15883" width="30.7109375" style="1" customWidth="1"/>
    <col min="15884" max="15884" width="22.7109375" style="1" customWidth="1"/>
    <col min="15885" max="15886" width="18.7109375" style="1" customWidth="1"/>
    <col min="15887" max="15887" width="26.28515625" style="1" customWidth="1"/>
    <col min="15888" max="15888" width="17.28515625" style="1" customWidth="1"/>
    <col min="15889" max="15889" width="15.7109375" style="1" customWidth="1"/>
    <col min="15890" max="16114" width="9.140625" style="1"/>
    <col min="16115" max="16115" width="2" style="1" customWidth="1"/>
    <col min="16116" max="16116" width="27.7109375" style="1" customWidth="1"/>
    <col min="16117" max="16117" width="1.7109375" style="1" customWidth="1"/>
    <col min="16118" max="16118" width="16.140625" style="1" customWidth="1"/>
    <col min="16119" max="16119" width="17.140625" style="1" customWidth="1"/>
    <col min="16120" max="16120" width="13" style="1" customWidth="1"/>
    <col min="16121" max="16121" width="27" style="1" customWidth="1"/>
    <col min="16122" max="16122" width="11.140625" style="1" customWidth="1"/>
    <col min="16123" max="16123" width="24.7109375" style="1" customWidth="1"/>
    <col min="16124" max="16124" width="13.140625" style="1" customWidth="1"/>
    <col min="16125" max="16125" width="14" style="1" customWidth="1"/>
    <col min="16126" max="16126" width="17.140625" style="1" customWidth="1"/>
    <col min="16127" max="16127" width="15.7109375" style="1" customWidth="1"/>
    <col min="16128" max="16128" width="17.85546875" style="1" customWidth="1"/>
    <col min="16129" max="16129" width="21.7109375" style="1" customWidth="1"/>
    <col min="16130" max="16130" width="22.7109375" style="1" customWidth="1"/>
    <col min="16131" max="16131" width="1.7109375" style="1" customWidth="1"/>
    <col min="16132" max="16132" width="14.28515625" style="1" customWidth="1"/>
    <col min="16133" max="16133" width="22.7109375" style="1" customWidth="1"/>
    <col min="16134" max="16139" width="30.7109375" style="1" customWidth="1"/>
    <col min="16140" max="16140" width="22.7109375" style="1" customWidth="1"/>
    <col min="16141" max="16142" width="18.7109375" style="1" customWidth="1"/>
    <col min="16143" max="16143" width="26.28515625" style="1" customWidth="1"/>
    <col min="16144" max="16144" width="17.28515625" style="1" customWidth="1"/>
    <col min="16145" max="16145" width="15.7109375" style="1" customWidth="1"/>
    <col min="16146" max="16380" width="9.140625" style="1"/>
    <col min="16381" max="16384" width="9.140625" style="1" customWidth="1"/>
  </cols>
  <sheetData>
    <row r="1" spans="2:24" ht="70.5" hidden="1" customHeight="1" x14ac:dyDescent="0.25">
      <c r="C1" s="316"/>
      <c r="D1" s="317"/>
      <c r="E1" s="317"/>
      <c r="F1" s="317"/>
      <c r="G1" s="317"/>
      <c r="H1" s="317"/>
      <c r="I1" s="317"/>
      <c r="J1" s="317"/>
      <c r="K1" s="317"/>
    </row>
    <row r="2" spans="2:24" s="16" customFormat="1" ht="12" customHeight="1" x14ac:dyDescent="0.25">
      <c r="B2" s="1"/>
      <c r="C2" s="1"/>
      <c r="D2" s="1"/>
      <c r="E2" s="1"/>
      <c r="F2" s="1"/>
      <c r="G2" s="1"/>
      <c r="H2" s="1"/>
      <c r="I2" s="1"/>
      <c r="J2" s="2"/>
      <c r="K2" s="1"/>
      <c r="L2" s="1"/>
      <c r="M2" s="1"/>
      <c r="N2" s="1"/>
    </row>
    <row r="3" spans="2:24" ht="52.15" customHeight="1" x14ac:dyDescent="0.25">
      <c r="C3" s="312" t="s">
        <v>336</v>
      </c>
      <c r="D3" s="313"/>
      <c r="E3" s="313"/>
      <c r="F3" s="313"/>
      <c r="G3" s="313"/>
      <c r="H3" s="313"/>
      <c r="I3" s="313"/>
      <c r="J3" s="314"/>
      <c r="K3" s="315"/>
      <c r="L3" s="296" t="s">
        <v>43</v>
      </c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7"/>
    </row>
    <row r="4" spans="2:24" ht="22.35" customHeight="1" x14ac:dyDescent="0.25">
      <c r="C4" s="290" t="s">
        <v>310</v>
      </c>
      <c r="D4" s="291"/>
      <c r="E4" s="291"/>
      <c r="F4" s="291"/>
      <c r="G4" s="291"/>
      <c r="H4" s="291"/>
      <c r="I4" s="291"/>
      <c r="J4" s="291"/>
      <c r="K4" s="292"/>
      <c r="L4" s="330" t="s">
        <v>44</v>
      </c>
      <c r="M4" s="298"/>
      <c r="N4" s="298"/>
      <c r="O4" s="298" t="s">
        <v>38</v>
      </c>
      <c r="P4" s="298"/>
      <c r="Q4" s="298" t="s">
        <v>45</v>
      </c>
      <c r="R4" s="298"/>
      <c r="S4" s="298" t="s">
        <v>67</v>
      </c>
      <c r="T4" s="298"/>
      <c r="U4" s="298"/>
      <c r="V4" s="298"/>
      <c r="W4" s="298"/>
      <c r="X4" s="90">
        <f>X8</f>
        <v>0.26540000000000002</v>
      </c>
    </row>
    <row r="5" spans="2:24" ht="22.35" customHeight="1" x14ac:dyDescent="0.25">
      <c r="C5" s="293"/>
      <c r="D5" s="294"/>
      <c r="E5" s="294"/>
      <c r="F5" s="294"/>
      <c r="G5" s="294"/>
      <c r="H5" s="294"/>
      <c r="I5" s="294"/>
      <c r="J5" s="294"/>
      <c r="K5" s="295"/>
      <c r="L5" s="299" t="s">
        <v>40</v>
      </c>
      <c r="M5" s="299"/>
      <c r="N5" s="300"/>
      <c r="O5" s="301" t="s">
        <v>46</v>
      </c>
      <c r="P5" s="302"/>
      <c r="Q5" s="6" t="s">
        <v>47</v>
      </c>
      <c r="R5" s="109">
        <v>0.01</v>
      </c>
      <c r="S5" s="303" t="s">
        <v>48</v>
      </c>
      <c r="T5" s="304"/>
      <c r="U5" s="304"/>
      <c r="V5" s="304"/>
      <c r="W5" s="304"/>
      <c r="X5" s="305"/>
    </row>
    <row r="6" spans="2:24" ht="22.15" customHeight="1" x14ac:dyDescent="0.25">
      <c r="C6" s="309" t="s">
        <v>335</v>
      </c>
      <c r="D6" s="310"/>
      <c r="E6" s="310"/>
      <c r="F6" s="310"/>
      <c r="G6" s="310"/>
      <c r="H6" s="310"/>
      <c r="I6" s="310"/>
      <c r="J6" s="310"/>
      <c r="K6" s="311"/>
      <c r="L6" s="299" t="s">
        <v>34</v>
      </c>
      <c r="M6" s="299"/>
      <c r="N6" s="300"/>
      <c r="O6" s="301" t="s">
        <v>49</v>
      </c>
      <c r="P6" s="302"/>
      <c r="Q6" s="7" t="s">
        <v>50</v>
      </c>
      <c r="R6" s="110">
        <v>0.01</v>
      </c>
      <c r="S6" s="306"/>
      <c r="T6" s="307"/>
      <c r="U6" s="307"/>
      <c r="V6" s="307"/>
      <c r="W6" s="307"/>
      <c r="X6" s="308"/>
    </row>
    <row r="7" spans="2:24" ht="20.100000000000001" customHeight="1" x14ac:dyDescent="0.25">
      <c r="C7" s="245" t="s">
        <v>311</v>
      </c>
      <c r="D7" s="246"/>
      <c r="E7" s="246"/>
      <c r="F7" s="246"/>
      <c r="G7" s="246"/>
      <c r="H7" s="246"/>
      <c r="I7" s="246"/>
      <c r="J7" s="246"/>
      <c r="K7" s="247"/>
      <c r="L7" s="299" t="s">
        <v>35</v>
      </c>
      <c r="M7" s="299"/>
      <c r="N7" s="300"/>
      <c r="O7" s="301" t="s">
        <v>51</v>
      </c>
      <c r="P7" s="302"/>
      <c r="Q7" s="7" t="s">
        <v>52</v>
      </c>
      <c r="R7" s="110">
        <v>8.0000000000000002E-3</v>
      </c>
      <c r="S7" s="8"/>
      <c r="U7" s="3"/>
      <c r="V7" s="4"/>
      <c r="W7" s="4"/>
      <c r="X7" s="9"/>
    </row>
    <row r="8" spans="2:24" ht="20.100000000000001" customHeight="1" x14ac:dyDescent="0.25">
      <c r="C8" s="242" t="s">
        <v>312</v>
      </c>
      <c r="D8" s="243"/>
      <c r="E8" s="243"/>
      <c r="F8" s="243"/>
      <c r="G8" s="243"/>
      <c r="H8" s="243"/>
      <c r="I8" s="243"/>
      <c r="J8" s="243"/>
      <c r="K8" s="244"/>
      <c r="L8" s="299" t="s">
        <v>36</v>
      </c>
      <c r="M8" s="299"/>
      <c r="N8" s="300"/>
      <c r="O8" s="301" t="s">
        <v>53</v>
      </c>
      <c r="P8" s="302"/>
      <c r="Q8" s="6" t="s">
        <v>54</v>
      </c>
      <c r="R8" s="110">
        <v>3.61E-2</v>
      </c>
      <c r="S8" s="328" t="s">
        <v>55</v>
      </c>
      <c r="T8" s="329"/>
      <c r="U8" s="329"/>
      <c r="V8" s="329"/>
      <c r="W8" s="10" t="s">
        <v>56</v>
      </c>
      <c r="X8" s="11">
        <f>ROUND((ABS(((1+R8+R6+R5)*(1+R7)*(1+R9))/(1-R10))-1),4)</f>
        <v>0.26540000000000002</v>
      </c>
    </row>
    <row r="9" spans="2:24" ht="20.100000000000001" customHeight="1" x14ac:dyDescent="0.25">
      <c r="C9" s="245" t="s">
        <v>313</v>
      </c>
      <c r="D9" s="246"/>
      <c r="E9" s="246"/>
      <c r="F9" s="246"/>
      <c r="G9" s="246"/>
      <c r="H9" s="246"/>
      <c r="I9" s="246"/>
      <c r="J9" s="246"/>
      <c r="K9" s="247"/>
      <c r="L9" s="299" t="s">
        <v>37</v>
      </c>
      <c r="M9" s="299"/>
      <c r="N9" s="300"/>
      <c r="O9" s="301" t="s">
        <v>57</v>
      </c>
      <c r="P9" s="302"/>
      <c r="Q9" s="12" t="s">
        <v>58</v>
      </c>
      <c r="R9" s="111">
        <v>6.8000000000000005E-2</v>
      </c>
      <c r="S9" s="13"/>
      <c r="T9" s="5"/>
      <c r="U9" s="318" t="s">
        <v>59</v>
      </c>
      <c r="V9" s="318"/>
      <c r="W9" s="14"/>
      <c r="X9" s="15"/>
    </row>
    <row r="10" spans="2:24" ht="20.100000000000001" customHeight="1" x14ac:dyDescent="0.25">
      <c r="C10" s="272" t="s">
        <v>314</v>
      </c>
      <c r="D10" s="273"/>
      <c r="E10" s="273"/>
      <c r="F10" s="273"/>
      <c r="G10" s="273"/>
      <c r="H10" s="273"/>
      <c r="I10" s="273"/>
      <c r="J10" s="273"/>
      <c r="K10" s="274"/>
      <c r="L10" s="17" t="s">
        <v>39</v>
      </c>
      <c r="M10" s="17"/>
      <c r="N10" s="18"/>
      <c r="O10" s="19" t="s">
        <v>60</v>
      </c>
      <c r="P10" s="20">
        <v>0.02</v>
      </c>
      <c r="Q10" s="319" t="s">
        <v>61</v>
      </c>
      <c r="R10" s="322">
        <f>SUM(P10:P13)</f>
        <v>0.10150000000000001</v>
      </c>
      <c r="S10" s="306" t="s">
        <v>62</v>
      </c>
      <c r="T10" s="307"/>
      <c r="U10" s="307"/>
      <c r="V10" s="307"/>
      <c r="W10" s="307"/>
      <c r="X10" s="308"/>
    </row>
    <row r="11" spans="2:24" ht="25.15" customHeight="1" x14ac:dyDescent="0.25">
      <c r="C11" s="245" t="s">
        <v>315</v>
      </c>
      <c r="D11" s="246"/>
      <c r="E11" s="246"/>
      <c r="F11" s="246"/>
      <c r="G11" s="246"/>
      <c r="H11" s="246"/>
      <c r="I11" s="246"/>
      <c r="J11" s="246"/>
      <c r="K11" s="247"/>
      <c r="L11" s="307" t="s">
        <v>63</v>
      </c>
      <c r="M11" s="307"/>
      <c r="N11" s="308"/>
      <c r="O11" s="19" t="s">
        <v>64</v>
      </c>
      <c r="P11" s="20">
        <v>6.4999999999999997E-3</v>
      </c>
      <c r="Q11" s="320"/>
      <c r="R11" s="323"/>
      <c r="S11" s="306"/>
      <c r="T11" s="307"/>
      <c r="U11" s="307"/>
      <c r="V11" s="307"/>
      <c r="W11" s="307"/>
      <c r="X11" s="308"/>
    </row>
    <row r="12" spans="2:24" ht="35.1" customHeight="1" x14ac:dyDescent="0.25">
      <c r="C12" s="272" t="s">
        <v>316</v>
      </c>
      <c r="D12" s="273"/>
      <c r="E12" s="273"/>
      <c r="F12" s="273"/>
      <c r="G12" s="273"/>
      <c r="H12" s="273"/>
      <c r="I12" s="273"/>
      <c r="J12" s="273"/>
      <c r="K12" s="274"/>
      <c r="L12" s="307"/>
      <c r="M12" s="307"/>
      <c r="N12" s="308"/>
      <c r="O12" s="19" t="s">
        <v>65</v>
      </c>
      <c r="P12" s="20">
        <v>0.03</v>
      </c>
      <c r="Q12" s="320"/>
      <c r="R12" s="323"/>
      <c r="S12" s="306"/>
      <c r="T12" s="307"/>
      <c r="U12" s="307"/>
      <c r="V12" s="307"/>
      <c r="W12" s="307"/>
      <c r="X12" s="308"/>
    </row>
    <row r="13" spans="2:24" ht="25.15" customHeight="1" x14ac:dyDescent="0.2">
      <c r="C13" s="245" t="s">
        <v>317</v>
      </c>
      <c r="D13" s="246"/>
      <c r="E13" s="246"/>
      <c r="F13" s="246"/>
      <c r="G13" s="246"/>
      <c r="H13" s="246"/>
      <c r="I13" s="246"/>
      <c r="J13" s="246"/>
      <c r="K13" s="134" t="s">
        <v>318</v>
      </c>
      <c r="L13" s="326"/>
      <c r="M13" s="326"/>
      <c r="N13" s="327"/>
      <c r="O13" s="19" t="s">
        <v>66</v>
      </c>
      <c r="P13" s="20">
        <v>4.4999999999999998E-2</v>
      </c>
      <c r="Q13" s="321"/>
      <c r="R13" s="324"/>
      <c r="S13" s="325"/>
      <c r="T13" s="326"/>
      <c r="U13" s="326"/>
      <c r="V13" s="326"/>
      <c r="W13" s="326"/>
      <c r="X13" s="327"/>
    </row>
    <row r="14" spans="2:24" ht="25.15" customHeight="1" x14ac:dyDescent="0.25">
      <c r="C14" s="242" t="s">
        <v>140</v>
      </c>
      <c r="D14" s="243"/>
      <c r="E14" s="243"/>
      <c r="F14" s="243"/>
      <c r="G14" s="243"/>
      <c r="H14" s="243"/>
      <c r="I14" s="243"/>
      <c r="J14" s="243"/>
      <c r="K14" s="122" t="s">
        <v>319</v>
      </c>
    </row>
    <row r="15" spans="2:24" ht="25.15" customHeight="1" x14ac:dyDescent="0.2">
      <c r="C15" s="248" t="s">
        <v>320</v>
      </c>
      <c r="D15" s="249"/>
      <c r="E15" s="249"/>
      <c r="F15" s="249"/>
      <c r="G15" s="249"/>
      <c r="H15" s="249"/>
      <c r="I15" s="249"/>
      <c r="J15" s="249"/>
      <c r="K15" s="250"/>
    </row>
    <row r="16" spans="2:24" ht="25.15" customHeight="1" x14ac:dyDescent="0.25">
      <c r="C16" s="242" t="s">
        <v>321</v>
      </c>
      <c r="D16" s="243"/>
      <c r="E16" s="243"/>
      <c r="F16" s="243"/>
      <c r="G16" s="243"/>
      <c r="H16" s="243"/>
      <c r="I16" s="243"/>
      <c r="J16" s="243"/>
      <c r="K16" s="244"/>
    </row>
    <row r="17" spans="2:14" ht="8.65" customHeight="1" x14ac:dyDescent="0.2">
      <c r="C17" s="141"/>
      <c r="D17" s="142"/>
      <c r="E17" s="142"/>
      <c r="F17" s="142"/>
      <c r="G17" s="142"/>
      <c r="H17" s="142"/>
      <c r="I17" s="142"/>
      <c r="J17" s="142"/>
      <c r="K17" s="143"/>
    </row>
    <row r="18" spans="2:14" ht="25.15" customHeight="1" x14ac:dyDescent="0.25">
      <c r="C18" s="275" t="s">
        <v>322</v>
      </c>
      <c r="D18" s="276"/>
      <c r="E18" s="276"/>
      <c r="F18" s="276"/>
      <c r="G18" s="276"/>
      <c r="H18" s="276"/>
      <c r="I18" s="276"/>
      <c r="J18" s="276"/>
      <c r="K18" s="277"/>
    </row>
    <row r="19" spans="2:14" ht="18" customHeight="1" x14ac:dyDescent="0.25">
      <c r="C19" s="278" t="s">
        <v>323</v>
      </c>
      <c r="D19" s="280" t="s">
        <v>38</v>
      </c>
      <c r="E19" s="281"/>
      <c r="F19" s="281"/>
      <c r="G19" s="281"/>
      <c r="H19" s="281"/>
      <c r="I19" s="282"/>
      <c r="J19" s="286" t="s">
        <v>324</v>
      </c>
      <c r="K19" s="287"/>
    </row>
    <row r="20" spans="2:14" ht="18" customHeight="1" x14ac:dyDescent="0.25">
      <c r="C20" s="279"/>
      <c r="D20" s="283"/>
      <c r="E20" s="284"/>
      <c r="F20" s="284"/>
      <c r="G20" s="284"/>
      <c r="H20" s="284"/>
      <c r="I20" s="285"/>
      <c r="J20" s="288"/>
      <c r="K20" s="289"/>
    </row>
    <row r="21" spans="2:14" ht="22.35" customHeight="1" x14ac:dyDescent="0.25">
      <c r="C21" s="123" t="s">
        <v>36</v>
      </c>
      <c r="D21" s="124" t="s">
        <v>325</v>
      </c>
      <c r="E21" s="260">
        <v>3.7999999999999999E-2</v>
      </c>
      <c r="F21" s="260"/>
      <c r="G21" s="132" t="s">
        <v>326</v>
      </c>
      <c r="H21" s="260">
        <v>4.6699999999999998E-2</v>
      </c>
      <c r="I21" s="261"/>
      <c r="J21" s="123" t="s">
        <v>36</v>
      </c>
      <c r="K21" s="137">
        <v>4.5499999999999999E-2</v>
      </c>
    </row>
    <row r="22" spans="2:14" ht="22.35" customHeight="1" x14ac:dyDescent="0.25">
      <c r="C22" s="125" t="s">
        <v>327</v>
      </c>
      <c r="D22" s="126" t="s">
        <v>325</v>
      </c>
      <c r="E22" s="262">
        <v>3.2000000000000002E-3</v>
      </c>
      <c r="F22" s="262"/>
      <c r="G22" s="133" t="s">
        <v>326</v>
      </c>
      <c r="H22" s="262">
        <v>7.4000000000000003E-3</v>
      </c>
      <c r="I22" s="263"/>
      <c r="J22" s="125" t="s">
        <v>327</v>
      </c>
      <c r="K22" s="138">
        <v>7.1000000000000004E-3</v>
      </c>
    </row>
    <row r="23" spans="2:14" ht="22.35" customHeight="1" x14ac:dyDescent="0.25">
      <c r="C23" s="125" t="s">
        <v>34</v>
      </c>
      <c r="D23" s="126" t="s">
        <v>325</v>
      </c>
      <c r="E23" s="262">
        <v>5.0000000000000001E-3</v>
      </c>
      <c r="F23" s="262"/>
      <c r="G23" s="133" t="s">
        <v>326</v>
      </c>
      <c r="H23" s="262">
        <v>9.7000000000000003E-3</v>
      </c>
      <c r="I23" s="263"/>
      <c r="J23" s="125" t="s">
        <v>34</v>
      </c>
      <c r="K23" s="138">
        <v>9.1000000000000004E-3</v>
      </c>
    </row>
    <row r="24" spans="2:14" ht="22.35" customHeight="1" x14ac:dyDescent="0.25">
      <c r="C24" s="125" t="s">
        <v>328</v>
      </c>
      <c r="D24" s="126" t="s">
        <v>325</v>
      </c>
      <c r="E24" s="262">
        <v>1.0200000000000001E-2</v>
      </c>
      <c r="F24" s="262"/>
      <c r="G24" s="133" t="s">
        <v>326</v>
      </c>
      <c r="H24" s="262">
        <v>1.21E-2</v>
      </c>
      <c r="I24" s="263"/>
      <c r="J24" s="125" t="s">
        <v>328</v>
      </c>
      <c r="K24" s="138">
        <v>1.21E-2</v>
      </c>
    </row>
    <row r="25" spans="2:14" ht="22.35" customHeight="1" x14ac:dyDescent="0.25">
      <c r="C25" s="125" t="s">
        <v>37</v>
      </c>
      <c r="D25" s="126" t="s">
        <v>325</v>
      </c>
      <c r="E25" s="262">
        <v>6.6400000000000001E-2</v>
      </c>
      <c r="F25" s="262"/>
      <c r="G25" s="133" t="s">
        <v>326</v>
      </c>
      <c r="H25" s="262">
        <v>8.6900000000000005E-2</v>
      </c>
      <c r="I25" s="263"/>
      <c r="J25" s="125" t="s">
        <v>37</v>
      </c>
      <c r="K25" s="138">
        <v>7.5800000000000006E-2</v>
      </c>
    </row>
    <row r="26" spans="2:14" s="16" customFormat="1" ht="22.35" customHeight="1" x14ac:dyDescent="0.25">
      <c r="B26" s="1"/>
      <c r="C26" s="125" t="s">
        <v>329</v>
      </c>
      <c r="D26" s="126" t="s">
        <v>325</v>
      </c>
      <c r="E26" s="262">
        <v>5.6500000000000002E-2</v>
      </c>
      <c r="F26" s="262"/>
      <c r="G26" s="133" t="s">
        <v>326</v>
      </c>
      <c r="H26" s="262">
        <v>8.6499999999999994E-2</v>
      </c>
      <c r="I26" s="263"/>
      <c r="J26" s="125" t="s">
        <v>329</v>
      </c>
      <c r="K26" s="138">
        <v>6.6500000000000004E-2</v>
      </c>
      <c r="L26" s="1"/>
      <c r="M26" s="5"/>
      <c r="N26" s="1"/>
    </row>
    <row r="27" spans="2:14" s="16" customFormat="1" ht="22.35" customHeight="1" x14ac:dyDescent="0.25">
      <c r="B27" s="1"/>
      <c r="C27" s="128" t="s">
        <v>330</v>
      </c>
      <c r="D27" s="129"/>
      <c r="E27" s="264">
        <v>0</v>
      </c>
      <c r="F27" s="264"/>
      <c r="G27" s="130" t="s">
        <v>331</v>
      </c>
      <c r="H27" s="264">
        <v>0.02</v>
      </c>
      <c r="I27" s="265"/>
      <c r="J27" s="128" t="s">
        <v>330</v>
      </c>
      <c r="K27" s="131">
        <v>0.02</v>
      </c>
      <c r="L27" s="1"/>
      <c r="M27" s="5"/>
      <c r="N27" s="1"/>
    </row>
    <row r="28" spans="2:14" s="16" customFormat="1" x14ac:dyDescent="0.25">
      <c r="B28" s="1"/>
      <c r="C28" s="266" t="s">
        <v>332</v>
      </c>
      <c r="D28" s="267"/>
      <c r="E28" s="267"/>
      <c r="F28" s="267"/>
      <c r="G28" s="267"/>
      <c r="H28" s="267"/>
      <c r="I28" s="267"/>
      <c r="J28" s="267"/>
      <c r="K28" s="268"/>
      <c r="L28" s="1"/>
      <c r="M28" s="5"/>
      <c r="N28" s="1"/>
    </row>
    <row r="29" spans="2:14" s="16" customFormat="1" ht="19.350000000000001" customHeight="1" x14ac:dyDescent="0.25">
      <c r="B29" s="1"/>
      <c r="C29" s="123" t="s">
        <v>36</v>
      </c>
      <c r="D29" s="269" t="str">
        <f>IF(K21&gt;H21,"Incidência maior que a permitida",IF(K21&lt;E21,"Incidência menor que a permitida","ok"))</f>
        <v>ok</v>
      </c>
      <c r="E29" s="270"/>
      <c r="F29" s="270"/>
      <c r="G29" s="270"/>
      <c r="H29" s="270"/>
      <c r="I29" s="270"/>
      <c r="J29" s="270"/>
      <c r="K29" s="271"/>
      <c r="L29" s="1"/>
      <c r="M29" s="5"/>
      <c r="N29" s="1"/>
    </row>
    <row r="30" spans="2:14" ht="19.350000000000001" customHeight="1" x14ac:dyDescent="0.25">
      <c r="C30" s="125" t="s">
        <v>327</v>
      </c>
      <c r="D30" s="251" t="str">
        <f>IF(K22&gt;H22,"Incidência maior que a permitida",IF(K22&lt;0,"Incidência menor que a permitida","ok"))</f>
        <v>ok</v>
      </c>
      <c r="E30" s="252"/>
      <c r="F30" s="252"/>
      <c r="G30" s="252"/>
      <c r="H30" s="252"/>
      <c r="I30" s="252"/>
      <c r="J30" s="252"/>
      <c r="K30" s="253"/>
    </row>
    <row r="31" spans="2:14" ht="19.350000000000001" customHeight="1" x14ac:dyDescent="0.25">
      <c r="C31" s="125" t="s">
        <v>34</v>
      </c>
      <c r="D31" s="251" t="str">
        <f>IF(K23&gt;H23,"Incidência maior que a permitida",IF(K23&lt;0,"Incidência menor que a permitida","ok"))</f>
        <v>ok</v>
      </c>
      <c r="E31" s="252"/>
      <c r="F31" s="252"/>
      <c r="G31" s="252"/>
      <c r="H31" s="252"/>
      <c r="I31" s="252"/>
      <c r="J31" s="252"/>
      <c r="K31" s="253"/>
    </row>
    <row r="32" spans="2:14" ht="19.350000000000001" customHeight="1" x14ac:dyDescent="0.25">
      <c r="C32" s="125" t="s">
        <v>328</v>
      </c>
      <c r="D32" s="251" t="str">
        <f>IF(K24&gt;H24,"Incidência maior que a permitida",IF(K24&lt;E24,"Incidência menor que a permitida","ok"))</f>
        <v>ok</v>
      </c>
      <c r="E32" s="252"/>
      <c r="F32" s="252"/>
      <c r="G32" s="252"/>
      <c r="H32" s="252"/>
      <c r="I32" s="252"/>
      <c r="J32" s="252"/>
      <c r="K32" s="253"/>
    </row>
    <row r="33" spans="3:11" ht="19.350000000000001" customHeight="1" x14ac:dyDescent="0.25">
      <c r="C33" s="125" t="s">
        <v>37</v>
      </c>
      <c r="D33" s="251" t="str">
        <f>IF(K25&gt;H25,"Incidência maior que a permitida",IF(K25&lt;E25,"Incidência menor que a permitida","ok"))</f>
        <v>ok</v>
      </c>
      <c r="E33" s="252"/>
      <c r="F33" s="252"/>
      <c r="G33" s="252"/>
      <c r="H33" s="252"/>
      <c r="I33" s="252"/>
      <c r="J33" s="252"/>
      <c r="K33" s="253"/>
    </row>
    <row r="34" spans="3:11" ht="19.350000000000001" customHeight="1" x14ac:dyDescent="0.25">
      <c r="C34" s="127" t="s">
        <v>329</v>
      </c>
      <c r="D34" s="254" t="str">
        <f>IF(K26&gt;H26,"Incidência maior que a permitida",IF(K26&lt;E26,"Incidência menor que a permitida","ok"))</f>
        <v>ok</v>
      </c>
      <c r="E34" s="255"/>
      <c r="F34" s="255"/>
      <c r="G34" s="255"/>
      <c r="H34" s="255"/>
      <c r="I34" s="255"/>
      <c r="J34" s="255"/>
      <c r="K34" s="256"/>
    </row>
    <row r="35" spans="3:11" ht="19.350000000000001" customHeight="1" x14ac:dyDescent="0.25">
      <c r="C35" s="128" t="s">
        <v>330</v>
      </c>
      <c r="D35" s="257" t="str">
        <f>IF(K27=E27,"ok",IF(K27=H27,"ok","Incidência não permitida"))</f>
        <v>ok</v>
      </c>
      <c r="E35" s="258"/>
      <c r="F35" s="258"/>
      <c r="G35" s="258"/>
      <c r="H35" s="258"/>
      <c r="I35" s="258"/>
      <c r="J35" s="258"/>
      <c r="K35" s="259"/>
    </row>
    <row r="36" spans="3:11" ht="34.35" customHeight="1" x14ac:dyDescent="0.25">
      <c r="C36" s="135" t="s">
        <v>333</v>
      </c>
      <c r="D36" s="239" t="s">
        <v>334</v>
      </c>
      <c r="E36" s="240"/>
      <c r="F36" s="240"/>
      <c r="G36" s="240"/>
      <c r="H36" s="240"/>
      <c r="I36" s="240"/>
      <c r="J36" s="241"/>
      <c r="K36" s="136">
        <f>ROUND(((1+K21+K22+K23)*(1+K24)*(1+K25)/(1-(K26+K27))-1),4)</f>
        <v>0.26550000000000001</v>
      </c>
    </row>
  </sheetData>
  <mergeCells count="64">
    <mergeCell ref="C1:K1"/>
    <mergeCell ref="L9:N9"/>
    <mergeCell ref="O9:P9"/>
    <mergeCell ref="U9:V9"/>
    <mergeCell ref="Q10:Q13"/>
    <mergeCell ref="R10:R13"/>
    <mergeCell ref="S10:X13"/>
    <mergeCell ref="L11:N13"/>
    <mergeCell ref="L7:N7"/>
    <mergeCell ref="O7:P7"/>
    <mergeCell ref="L8:N8"/>
    <mergeCell ref="O8:P8"/>
    <mergeCell ref="S8:V8"/>
    <mergeCell ref="L4:N4"/>
    <mergeCell ref="O4:P4"/>
    <mergeCell ref="Q4:R4"/>
    <mergeCell ref="C4:K5"/>
    <mergeCell ref="C10:K10"/>
    <mergeCell ref="L3:X3"/>
    <mergeCell ref="S4:W4"/>
    <mergeCell ref="L5:N5"/>
    <mergeCell ref="O5:P5"/>
    <mergeCell ref="S5:X6"/>
    <mergeCell ref="L6:N6"/>
    <mergeCell ref="O6:P6"/>
    <mergeCell ref="C6:K6"/>
    <mergeCell ref="C3:I3"/>
    <mergeCell ref="J3:K3"/>
    <mergeCell ref="E23:F23"/>
    <mergeCell ref="H23:I23"/>
    <mergeCell ref="C12:K12"/>
    <mergeCell ref="C18:K18"/>
    <mergeCell ref="C19:C20"/>
    <mergeCell ref="D19:I20"/>
    <mergeCell ref="J19:K20"/>
    <mergeCell ref="D31:K31"/>
    <mergeCell ref="D32:K32"/>
    <mergeCell ref="E27:F27"/>
    <mergeCell ref="H27:I27"/>
    <mergeCell ref="C28:K28"/>
    <mergeCell ref="D29:K29"/>
    <mergeCell ref="D30:K30"/>
    <mergeCell ref="E24:F24"/>
    <mergeCell ref="H24:I24"/>
    <mergeCell ref="E25:F25"/>
    <mergeCell ref="H25:I25"/>
    <mergeCell ref="E26:F26"/>
    <mergeCell ref="H26:I26"/>
    <mergeCell ref="D36:J36"/>
    <mergeCell ref="C8:K8"/>
    <mergeCell ref="C14:J14"/>
    <mergeCell ref="C16:K16"/>
    <mergeCell ref="C7:K7"/>
    <mergeCell ref="C9:K9"/>
    <mergeCell ref="C11:K11"/>
    <mergeCell ref="C13:J13"/>
    <mergeCell ref="C15:K15"/>
    <mergeCell ref="D33:K33"/>
    <mergeCell ref="D34:K34"/>
    <mergeCell ref="D35:K35"/>
    <mergeCell ref="E21:F21"/>
    <mergeCell ref="H21:I21"/>
    <mergeCell ref="E22:F22"/>
    <mergeCell ref="H22:I22"/>
  </mergeCells>
  <conditionalFormatting sqref="M3:M9">
    <cfRule type="duplicateValues" dxfId="3" priority="7"/>
  </conditionalFormatting>
  <conditionalFormatting sqref="K21:K26">
    <cfRule type="cellIs" dxfId="2" priority="3" stopIfTrue="1" operator="notBetween">
      <formula>E21</formula>
      <formula>H21</formula>
    </cfRule>
  </conditionalFormatting>
  <conditionalFormatting sqref="D29:D35">
    <cfRule type="cellIs" dxfId="1" priority="2" stopIfTrue="1" operator="notEqual">
      <formula>"ok"</formula>
    </cfRule>
  </conditionalFormatting>
  <conditionalFormatting sqref="K27">
    <cfRule type="expression" dxfId="0" priority="9" stopIfTrue="1">
      <formula>#REF!&lt;&gt;0</formula>
    </cfRule>
  </conditionalFormatting>
  <dataValidations count="2">
    <dataValidation allowBlank="1" showInputMessage="1" showErrorMessage="1" promptTitle="Fórnula TCU Acórdão 2622/2013" prompt="Rodovias, ferrovias, obras urbanas" sqref="D36:J36" xr:uid="{959F65F5-FC9A-4010-924C-4C9A6FD26266}"/>
    <dataValidation allowBlank="1" showInputMessage="1" showErrorMessage="1" promptTitle="Encargos sociais" prompt="Para encargos sociais desonerados usar 2%." sqref="K27" xr:uid="{C84FD798-C3A8-4E4F-9803-C264C89F7EC2}"/>
  </dataValidations>
  <printOptions horizontalCentered="1"/>
  <pageMargins left="0.51181102362204722" right="0.51181102362204722" top="0.78740157480314965" bottom="0.78740157480314965" header="0.51181102362204722" footer="0.51181102362204722"/>
  <pageSetup paperSize="9" scale="51" firstPageNumber="0" orientation="landscape" horizontalDpi="300" verticalDpi="300" r:id="rId1"/>
  <colBreaks count="1" manualBreakCount="1">
    <brk id="12" max="1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Planilha final</vt:lpstr>
      <vt:lpstr>Balizador de Quantidades</vt:lpstr>
      <vt:lpstr>Comp. BDI</vt:lpstr>
      <vt:lpstr>'Balizador de Quantidades'!Area_de_impressao</vt:lpstr>
      <vt:lpstr>'Comp. BDI'!Area_de_impressao</vt:lpstr>
      <vt:lpstr>'Planilha final'!Area_de_impressao</vt:lpstr>
      <vt:lpstr>'Planilha final'!Print_Area</vt:lpstr>
      <vt:lpstr>'Balizador de Quantidades'!Titulos_de_impressao</vt:lpstr>
      <vt:lpstr>'Planilha final'!Titulos_de_impressao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</dc:creator>
  <dc:description/>
  <cp:lastModifiedBy>César</cp:lastModifiedBy>
  <cp:lastPrinted>2021-09-13T13:59:13Z</cp:lastPrinted>
  <dcterms:created xsi:type="dcterms:W3CDTF">2018-03-06T18:29:43Z</dcterms:created>
  <dcterms:modified xsi:type="dcterms:W3CDTF">2022-03-29T19:29:23Z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