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925" activeTab="3"/>
  </bookViews>
  <sheets>
    <sheet name="MEMÓRIA" sheetId="1" r:id="rId1"/>
    <sheet name="PLANILHA" sheetId="2" r:id="rId2"/>
    <sheet name="CRONOGRAMA" sheetId="3" r:id="rId3"/>
    <sheet name="FOTOS" sheetId="4" r:id="rId4"/>
  </sheets>
  <externalReferences>
    <externalReference r:id="rId7"/>
  </externalReferences>
  <definedNames>
    <definedName name="_xlnm.Print_Area" localSheetId="2">'CRONOGRAMA'!$A$1:$K$33</definedName>
    <definedName name="_xlnm.Print_Area" localSheetId="3">'FOTOS'!$A$1:$J$42</definedName>
    <definedName name="_xlnm.Print_Area" localSheetId="0">'MEMÓRIA'!$A$1:$O$43</definedName>
    <definedName name="_xlnm.Print_Area" localSheetId="1">'PLANILHA'!$A$1:$H$49</definedName>
    <definedName name="NOME1" localSheetId="3">#REF!</definedName>
    <definedName name="NOME1">#REF!</definedName>
    <definedName name="NOME2" localSheetId="3">#REF!</definedName>
    <definedName name="NOME2">#REF!</definedName>
    <definedName name="_xlnm.Print_Titles" localSheetId="3">'FOTOS'!$1:$4</definedName>
    <definedName name="_xlnm.Print_Titles" localSheetId="0">'MEMÓRIA'!$A:$O,'MEMÓRIA'!$1:$6</definedName>
    <definedName name="_xlnm.Print_Titles" localSheetId="1">'PLANILHA'!$1:$8</definedName>
  </definedNames>
  <calcPr fullCalcOnLoad="1"/>
</workbook>
</file>

<file path=xl/sharedStrings.xml><?xml version="1.0" encoding="utf-8"?>
<sst xmlns="http://schemas.openxmlformats.org/spreadsheetml/2006/main" count="247" uniqueCount="189">
  <si>
    <t>ITEM</t>
  </si>
  <si>
    <t>DESCRIÇÃO</t>
  </si>
  <si>
    <t>CÓDIGO</t>
  </si>
  <si>
    <t>DIRETA</t>
  </si>
  <si>
    <t>INDIRETA</t>
  </si>
  <si>
    <t>(    )</t>
  </si>
  <si>
    <t>LDI</t>
  </si>
  <si>
    <t>PREÇO TOTAL</t>
  </si>
  <si>
    <t>CREA</t>
  </si>
  <si>
    <t xml:space="preserve">FORMA DE EXECUÇÃO: </t>
  </si>
  <si>
    <t>Carimbo e assinatura do engenheiro responsável técnico pela elaboração da planilha</t>
  </si>
  <si>
    <t>Carimbo e assinatura do prefeito</t>
  </si>
  <si>
    <t>PREÇO UNITÁRIO S/ LDI</t>
  </si>
  <si>
    <t>PREÇO UNITÁRIO C/ LDI</t>
  </si>
  <si>
    <t>1.1</t>
  </si>
  <si>
    <t>1.2</t>
  </si>
  <si>
    <t>2.1</t>
  </si>
  <si>
    <t>Eng. Civil WILSON DIAS DA FONSECA JR.</t>
  </si>
  <si>
    <t>61.924 / D</t>
  </si>
  <si>
    <t>FOLHA Nº: 01/01</t>
  </si>
  <si>
    <t>(  X  )</t>
  </si>
  <si>
    <t>Prefeito GILMAR DE PAULA LIMA</t>
  </si>
  <si>
    <t>SERVIÇOS PRELIMINARES</t>
  </si>
  <si>
    <t>m2</t>
  </si>
  <si>
    <t>UNID</t>
  </si>
  <si>
    <t>QUANT.</t>
  </si>
  <si>
    <t xml:space="preserve">PREFEITURA MUNICIPAL DE SANTA CRUZ DO ESCALVADO </t>
  </si>
  <si>
    <t>MEMÓRIA DE CÁLCULO</t>
  </si>
  <si>
    <t>unid</t>
  </si>
  <si>
    <t>TOTAL</t>
  </si>
  <si>
    <t>WILSON DIAS FONSECA JR.</t>
  </si>
  <si>
    <t>Eng. Civil - Crea 61.924/D</t>
  </si>
  <si>
    <t>CRONOGRAMA FÍSICO-FINANCEIRO</t>
  </si>
  <si>
    <t xml:space="preserve">VALOR DO CONVÊNIO: </t>
  </si>
  <si>
    <t>ETAPAS/DESCRIÇÃO</t>
  </si>
  <si>
    <t>FÍSICO/ FINANCEIRO</t>
  </si>
  <si>
    <t>TOTAL  ETAPAS</t>
  </si>
  <si>
    <t>MÊS 1</t>
  </si>
  <si>
    <t>MÊS 2</t>
  </si>
  <si>
    <t>MÊS 3</t>
  </si>
  <si>
    <t>MÊS 4</t>
  </si>
  <si>
    <t>MÊS 5</t>
  </si>
  <si>
    <t>MÊS 6</t>
  </si>
  <si>
    <t>Físico %</t>
  </si>
  <si>
    <t>Financeiro</t>
  </si>
  <si>
    <t xml:space="preserve"> </t>
  </si>
  <si>
    <t>Observações:</t>
  </si>
  <si>
    <r>
      <rPr>
        <b/>
        <sz val="17"/>
        <rFont val="Calibri"/>
        <family val="2"/>
      </rPr>
      <t>PREFEITURA MUNICIPAL DE SANTA CRUZ DO ESCALVADO</t>
    </r>
    <r>
      <rPr>
        <b/>
        <sz val="10"/>
        <rFont val="Calibri"/>
        <family val="2"/>
      </rPr>
      <t xml:space="preserve">
            </t>
    </r>
    <r>
      <rPr>
        <b/>
        <sz val="11"/>
        <rFont val="Calibri"/>
        <family val="2"/>
      </rPr>
      <t>ESTADO DE MINAS GERAIS
              Adm. 2021-2024</t>
    </r>
    <r>
      <rPr>
        <sz val="10"/>
        <rFont val="Arial"/>
        <family val="2"/>
      </rPr>
      <t xml:space="preserve">
</t>
    </r>
  </si>
  <si>
    <t>VALORES</t>
  </si>
  <si>
    <t>DESCRIÇÃO DOS SERVIÇOS</t>
  </si>
  <si>
    <t>Carimbo e assinatura do engenheiro resp. téc. pela elaboração do cronograma</t>
  </si>
  <si>
    <t>COORDENADAS:</t>
  </si>
  <si>
    <t>MOB-DES-005</t>
  </si>
  <si>
    <t>%</t>
  </si>
  <si>
    <t>m</t>
  </si>
  <si>
    <t>porcentagem sobre o valor total da planilha</t>
  </si>
  <si>
    <t>repasse</t>
  </si>
  <si>
    <t>contrapartid</t>
  </si>
  <si>
    <t>MOBILIZAÇÃO E DESMOBILIZAÇÃO DE OBRAS ATÉ O VALOR DE 1.000.000,00</t>
  </si>
  <si>
    <t>3.1</t>
  </si>
  <si>
    <t>2.1.1</t>
  </si>
  <si>
    <t>2.1.2</t>
  </si>
  <si>
    <t>2.1.3</t>
  </si>
  <si>
    <t>2.1.4</t>
  </si>
  <si>
    <t>2.1.5</t>
  </si>
  <si>
    <t>2.1.6</t>
  </si>
  <si>
    <t>2.1.7</t>
  </si>
  <si>
    <t>2.1.8</t>
  </si>
  <si>
    <t>EXECUÇÃO DE PONTE MISTA</t>
  </si>
  <si>
    <t>MESOESTRUTURA - ENCONTROS (2X)</t>
  </si>
  <si>
    <t>FORMA E DESFORMA DE TÁBUA E SARRAFO</t>
  </si>
  <si>
    <t>CORTE, DOBRA E ARMAÇÃO DE AÇO CA-50/60</t>
  </si>
  <si>
    <t>FORNECIMENTO DE CONCRETO ESTRUTURAL, USINADO BOMBEADO, COM FCK 25 MPA, INCLUSIVE LANÇAMENTO, ADENSAMENTO E ACABAMENTO</t>
  </si>
  <si>
    <t>REATERRO COMPACTADO COM EQUIPAMENTO PLACA VIBRATÓRIA</t>
  </si>
  <si>
    <t>SUPERESTRUTURA</t>
  </si>
  <si>
    <t>APARELHOS APOIO EM NEOPRENE FRETADO  DIM 300X600X40MM (EXECUÇÃO INCL APLICAÇÃO FORNECIMENTO TRANSPORTE MATERIAIS)</t>
  </si>
  <si>
    <t>FORNECIMENTO E LANÇAMENTO DE VIGAS METALICAS</t>
  </si>
  <si>
    <t>FORNECIMENTO DE ESTRUTURA METÁLICA EM PERFIL LAMINADO, INCLUSIVE FABRICAÇÃO, TRANSPORTE, MONTAGEM E APLICAÇÃO DE FUNDO PREPARADOR ANTICORROSIVO EM SUPERFÍCIE METÁLICA, UMA (1) DEMÃO (PERFIL METÁLICO W530x92)</t>
  </si>
  <si>
    <t>FORNECIMENTO DE ESTRUTURA METÁLICA EM PERFIL LAMINADO, INCLUSIVE FABRICAÇÃO, TRANSPORTE, MONTAGEM E APLICAÇÃO DE FUNDO PREPARADOR ANTICORROSIVO EM SUPERFÍCIE METÁLICA, UMA (1) DEMÃO (PERFIL METÁLICO W250x22,3)</t>
  </si>
  <si>
    <t>CONECTOR PERFIL METÁLICO LAMINADO U 4" (8,13mm//10,79kg/m) SOLDADO CADA 25CM COMPR=8CM</t>
  </si>
  <si>
    <t>CONFECÇÃO E LANÇAMENTO DE PLACAS PRÉ-MOLDADAS (PRÉ-LAJE)</t>
  </si>
  <si>
    <t>FORNECIMENTO DE CONCRETO ESTRUTURAL, PREPARADO EM OBRA, COM FCK 25 MPA, INCLUSIVE LANÇAMENTO, ADENSAMENTO E ACABAMENTO</t>
  </si>
  <si>
    <t>TABULEIRO E GUARDA RODAS</t>
  </si>
  <si>
    <t>LIMPEZA GERAL</t>
  </si>
  <si>
    <t>LIMPEZA FINAL PARA ENTREGA DA OBRA</t>
  </si>
  <si>
    <t>TOTAL GERAL OBRA</t>
  </si>
  <si>
    <t>m3</t>
  </si>
  <si>
    <t>kg</t>
  </si>
  <si>
    <t>dm3</t>
  </si>
  <si>
    <t>transporte do volume escavado</t>
  </si>
  <si>
    <t>área de forma dos encontros=perímetro x altura x 2lados</t>
  </si>
  <si>
    <t>volume de concreto dos encontros</t>
  </si>
  <si>
    <t>peso de aço dos perfis metálicos</t>
  </si>
  <si>
    <t>área = perímetro das placas x espessura x quantidade</t>
  </si>
  <si>
    <t>peso de aço das placas pré-moldadas (pré-laje)</t>
  </si>
  <si>
    <t>volume = área das placas x espessura x quantidade</t>
  </si>
  <si>
    <t>área tabuleiro = perímetro x altura /// área guarda-roda = perímetro x comprimento x 2 lados</t>
  </si>
  <si>
    <t>peso de aço da laje maçiça e guarda-rodas</t>
  </si>
  <si>
    <t>volume tabuleiro = área x altura /// volume guarda-roda = área x comprimento x 2 lados.</t>
  </si>
  <si>
    <t xml:space="preserve">área de limpeza do local da obra </t>
  </si>
  <si>
    <t>volume de reaterro entre os encontros</t>
  </si>
  <si>
    <t>quantidade</t>
  </si>
  <si>
    <t>soma dos ferros N4+N10+N11 (VER PROJETO)</t>
  </si>
  <si>
    <t>soma dos ferros N1+N2+N3+N8+N9 (VER PROJETO)</t>
  </si>
  <si>
    <t>2.2</t>
  </si>
  <si>
    <t>2.2.1</t>
  </si>
  <si>
    <t>2.2.2</t>
  </si>
  <si>
    <t>2.2.2.1</t>
  </si>
  <si>
    <t>2.2.2.2</t>
  </si>
  <si>
    <t>2.2.2.3</t>
  </si>
  <si>
    <t>2.2.3</t>
  </si>
  <si>
    <t>2.2.3.1</t>
  </si>
  <si>
    <t>2.2.3.2</t>
  </si>
  <si>
    <t>2.2.3.3</t>
  </si>
  <si>
    <t>2.2.4</t>
  </si>
  <si>
    <t>2.2.4.1</t>
  </si>
  <si>
    <t>2.2.4.2</t>
  </si>
  <si>
    <t>2.2.4.3</t>
  </si>
  <si>
    <t>TRANSPORTE MATERIAL QUALQ NATUREZA EM CAMINHÃO DMT &lt;= 1 KM (DENTRO DO PERÍMETRO URBANO)</t>
  </si>
  <si>
    <t>ED-16660</t>
  </si>
  <si>
    <t>RO-41582</t>
  </si>
  <si>
    <t>ED-49664</t>
  </si>
  <si>
    <t>ED-51121</t>
  </si>
  <si>
    <t>ED-50266</t>
  </si>
  <si>
    <t>PLANILHA ORÇAMENTÁRIA DE CUSTOS</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</si>
  <si>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</si>
  <si>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área = 1,00 x 2,00</t>
  </si>
  <si>
    <t>dimensões dos aparelhos x 2 vigas x 2 lados</t>
  </si>
  <si>
    <t>(1,5DM x 2DM x 0,4DM) x 2 vigas x 2 lados</t>
  </si>
  <si>
    <t>ED-49810</t>
  </si>
  <si>
    <t>ED-48298</t>
  </si>
  <si>
    <t>ED-49630</t>
  </si>
  <si>
    <t>PREFEITURA MUNICIPAL DE SANTA CRUZ DO ESCALVADO</t>
  </si>
  <si>
    <t>RELATÓRIO FOTOGRÁFICO - ANTES DA EXECUÇÃO</t>
  </si>
  <si>
    <t>Eng. Civil - CREA 61.924 / D</t>
  </si>
  <si>
    <t>Engenheiro Responsável pela FISCALIZAÇÃO</t>
  </si>
  <si>
    <t>ED-29229</t>
  </si>
  <si>
    <t>volume de escavação para execução dos encontros da ponte (2 lados)</t>
  </si>
  <si>
    <t>ED-51115</t>
  </si>
  <si>
    <t>ESCAVAÇÃO MECÂNICA DE VALAS COM PROFUNDIDADE MENOR OU IGUAL A 1,5M, INCLUSIVE CARGA EM CAMINHÃO, EXCLUSIVE TRANSPORTE E DESCARGA</t>
  </si>
  <si>
    <t>2.1.9</t>
  </si>
  <si>
    <t>SINAPI-5679</t>
  </si>
  <si>
    <t xml:space="preserve">RETROESCAVADEIRA SOBRE RODAS COM CARREGADEIRA, TRAÇÃO 4X4, POTÊNCIA LÍQ. 88 HP, CAÇAMBA CARREG. CAP. MÍN. 1 M3, CAÇAMBA RETRO CAP. 0,26 M3, PESO OPERACIONAL MÍN. 6.674 KG, PROFUNDIDADE ESCAVAÇÃO MÁX. 4,37 M - CHI DIURNO </t>
  </si>
  <si>
    <t>CHI</t>
  </si>
  <si>
    <t>ESTIMATIVA DE HORAS IMPRODUTIVAS-Deslocamento até local</t>
  </si>
  <si>
    <t>estimativa horas</t>
  </si>
  <si>
    <t>peso de aço dos encontros (VIGAS + PILARES)</t>
  </si>
  <si>
    <r>
      <t xml:space="preserve">OBRA: </t>
    </r>
    <r>
      <rPr>
        <sz val="10"/>
        <color indexed="8"/>
        <rFont val="Arial"/>
        <family val="2"/>
      </rPr>
      <t>Execução de ponte mista em estrutura de concreto armado e vigas metálicos</t>
    </r>
  </si>
  <si>
    <r>
      <t>REGIÃO/MÊS DE REFERÊNCIA:</t>
    </r>
    <r>
      <rPr>
        <sz val="10"/>
        <color indexed="8"/>
        <rFont val="Arial"/>
        <family val="2"/>
      </rPr>
      <t xml:space="preserve"> SETOP Região Leste - OUTUBRO 23 - com desoneração</t>
    </r>
  </si>
  <si>
    <r>
      <t xml:space="preserve">PRAZO DE EXECUÇÃO: </t>
    </r>
    <r>
      <rPr>
        <sz val="10"/>
        <color indexed="8"/>
        <rFont val="Arial"/>
        <family val="2"/>
      </rPr>
      <t>03 (três) meses</t>
    </r>
  </si>
  <si>
    <t>lat. -20,231054</t>
  </si>
  <si>
    <t>lon -42,812049</t>
  </si>
  <si>
    <r>
      <t xml:space="preserve">LOCAL: </t>
    </r>
    <r>
      <rPr>
        <sz val="10"/>
        <color indexed="8"/>
        <rFont val="Arial"/>
        <family val="2"/>
      </rPr>
      <t>Córrego Charnecão, Rua Aniceto de Barros, Bairro Centro, Município de Santa Cruz do Escalvado.</t>
    </r>
  </si>
  <si>
    <t>ED-49655</t>
  </si>
  <si>
    <t>volume=(2,40x9,00x2,21)</t>
  </si>
  <si>
    <t>área=((2,4+2,4+0,8+0,8)x2,21x2)+(((2+1)*2/2)*2*4)</t>
  </si>
  <si>
    <t>volume=(2,4x0,80x2,30x2)+(2,4x0,21x0,2x2)+((2+1)*2/2)*0,2</t>
  </si>
  <si>
    <t>volume=(2,4x0,30x2,21)x2</t>
  </si>
  <si>
    <t>peso= 2 vigas x 6m x 92kg/m</t>
  </si>
  <si>
    <t>peso=3 vigas x 1,80m x 22,3kg/m</t>
  </si>
  <si>
    <t>peso=24 unid x 2 vigas x 0,08m x 10,8kg/m</t>
  </si>
  <si>
    <t>área=6,74m x 0,07m espessura x 6 placas</t>
  </si>
  <si>
    <t>volume=1,13m2 x 0,07m x 6 placas</t>
  </si>
  <si>
    <t>área tabuleiro = (2,4+6+2,4+6)m x 0,14m ///  área guarda-roda = (0,2+0,30+0,30)m x 6,43m x 2 lados</t>
  </si>
  <si>
    <t>volume tabuleiro = (2,4 x 6)m x 0,14m ///                                  área guarda-roda = (0,2 x 0,30)m x 6,43m x 2 lados</t>
  </si>
  <si>
    <t>área = 2,4m x 6,43m</t>
  </si>
  <si>
    <t>ANCORAGEM DE BARRAS DE AÇO COM CHUMBADOR QUÍMICO À BASE DE RESINA POLIÉSTER, EXCLUSIVE FORNECIMENTO DE BARRA</t>
  </si>
  <si>
    <t>ED-29555</t>
  </si>
  <si>
    <t>RO-41481</t>
  </si>
  <si>
    <t>Furo em rocha ø = 25,0 mm, profundidade = 50 mm</t>
  </si>
  <si>
    <t>BARRAS DE AÇO DIÂMETRO 20MM P/ ANCORAGEM DA ESTRUTURA EM ROCHA</t>
  </si>
  <si>
    <t>peso</t>
  </si>
  <si>
    <t>volume</t>
  </si>
  <si>
    <t>dm</t>
  </si>
  <si>
    <t>cm</t>
  </si>
  <si>
    <t>mm</t>
  </si>
  <si>
    <t>volume=quant x 5dm x área furo 0,25dm (volume de resina final &gt; descontada a área da barra)</t>
  </si>
  <si>
    <t>quantidade=número furos por encontro x 2 lados</t>
  </si>
  <si>
    <t>peso=quant x 1,20m x 2,466kg/m</t>
  </si>
  <si>
    <t>quantidade = 40unid x 2lados</t>
  </si>
  <si>
    <t>RO-14602</t>
  </si>
  <si>
    <t>Escavação de vala em material de 3ª categoria</t>
  </si>
  <si>
    <t>2.1.5.1</t>
  </si>
  <si>
    <t>2.1.5.2</t>
  </si>
  <si>
    <t>volume de material rochoso escavado</t>
  </si>
  <si>
    <t>volume=((4,00x0,20x0,50)+(2,40x0,80x0,50))x2lados</t>
  </si>
  <si>
    <t>soma dos ferros N5+N6+N7+N12 (VER PROJETO) + aço pilares 90kg</t>
  </si>
  <si>
    <t>pilares</t>
  </si>
  <si>
    <r>
      <t xml:space="preserve">DATA: </t>
    </r>
    <r>
      <rPr>
        <sz val="10"/>
        <color indexed="8"/>
        <rFont val="Arial"/>
        <family val="2"/>
      </rPr>
      <t>04/03/24</t>
    </r>
  </si>
</sst>
</file>

<file path=xl/styles.xml><?xml version="1.0" encoding="utf-8"?>
<styleSheet xmlns="http://schemas.openxmlformats.org/spreadsheetml/2006/main">
  <numFmts count="4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416]mmm\-yy;@"/>
    <numFmt numFmtId="183" formatCode="&quot;R$ &quot;#,##0.00"/>
    <numFmt numFmtId="184" formatCode="&quot;R$&quot;\ #,##0.00"/>
    <numFmt numFmtId="185" formatCode="0.00000"/>
    <numFmt numFmtId="186" formatCode="0.0000"/>
    <numFmt numFmtId="187" formatCode="0.000"/>
    <numFmt numFmtId="188" formatCode="_(* #,##0.0_);_(* \(#,##0.0\);_(* &quot;-&quot;??_);_(@_)"/>
    <numFmt numFmtId="189" formatCode="_(* #,##0_);_(* \(#,##0\);_(* &quot;-&quot;??_);_(@_)"/>
    <numFmt numFmtId="190" formatCode="_(* #,##0.000_);_(* \(#,##0.000\);_(* &quot;-&quot;??_);_(@_)"/>
    <numFmt numFmtId="191" formatCode="&quot;R$&quot;#,##0.00"/>
    <numFmt numFmtId="192" formatCode="0.0000000000"/>
    <numFmt numFmtId="193" formatCode="0.000000000"/>
    <numFmt numFmtId="194" formatCode="0.00000000"/>
    <numFmt numFmtId="195" formatCode="0.0000000"/>
    <numFmt numFmtId="196" formatCode="0.000000"/>
    <numFmt numFmtId="197" formatCode="_-[$R$-416]\ * #,##0.00_-;\-[$R$-416]\ * #,##0.00_-;_-[$R$-416]\ * &quot;-&quot;??_-;_-@_-"/>
  </numFmts>
  <fonts count="68">
    <font>
      <sz val="10"/>
      <name val="Arial"/>
      <family val="0"/>
    </font>
    <font>
      <sz val="8"/>
      <name val="Arial"/>
      <family val="2"/>
    </font>
    <font>
      <b/>
      <sz val="10"/>
      <name val="Arial"/>
      <family val="2"/>
    </font>
    <font>
      <u val="single"/>
      <sz val="7.5"/>
      <color indexed="12"/>
      <name val="Arial"/>
      <family val="2"/>
    </font>
    <font>
      <u val="single"/>
      <sz val="7.5"/>
      <color indexed="36"/>
      <name val="Arial"/>
      <family val="2"/>
    </font>
    <font>
      <sz val="8"/>
      <color indexed="8"/>
      <name val="Arial"/>
      <family val="2"/>
    </font>
    <font>
      <sz val="10"/>
      <color indexed="8"/>
      <name val="Arial"/>
      <family val="2"/>
    </font>
    <font>
      <b/>
      <sz val="8"/>
      <name val="Arial"/>
      <family val="2"/>
    </font>
    <font>
      <b/>
      <sz val="10"/>
      <color indexed="8"/>
      <name val="Arial"/>
      <family val="2"/>
    </font>
    <font>
      <b/>
      <sz val="9"/>
      <color indexed="8"/>
      <name val="Arial"/>
      <family val="2"/>
    </font>
    <font>
      <sz val="9"/>
      <color indexed="8"/>
      <name val="Arial"/>
      <family val="2"/>
    </font>
    <font>
      <b/>
      <sz val="9"/>
      <name val="Arial"/>
      <family val="2"/>
    </font>
    <font>
      <sz val="9"/>
      <name val="Arial"/>
      <family val="2"/>
    </font>
    <font>
      <sz val="9"/>
      <color indexed="12"/>
      <name val="Arial"/>
      <family val="2"/>
    </font>
    <font>
      <sz val="18"/>
      <name val="Times New Roman"/>
      <family val="1"/>
    </font>
    <font>
      <b/>
      <sz val="8.5"/>
      <name val="Arial"/>
      <family val="2"/>
    </font>
    <font>
      <sz val="8.5"/>
      <name val="Arial"/>
      <family val="2"/>
    </font>
    <font>
      <b/>
      <sz val="12"/>
      <name val="Times New Roman"/>
      <family val="1"/>
    </font>
    <font>
      <sz val="10"/>
      <color indexed="10"/>
      <name val="Arial"/>
      <family val="2"/>
    </font>
    <font>
      <b/>
      <sz val="17"/>
      <name val="Calibri"/>
      <family val="2"/>
    </font>
    <font>
      <b/>
      <sz val="10"/>
      <name val="Calibri"/>
      <family val="2"/>
    </font>
    <font>
      <b/>
      <sz val="11"/>
      <name val="Calibri"/>
      <family val="2"/>
    </font>
    <font>
      <b/>
      <sz val="7"/>
      <name val="Arial"/>
      <family val="2"/>
    </font>
    <font>
      <b/>
      <sz val="9"/>
      <color indexed="12"/>
      <name val="Arial"/>
      <family val="2"/>
    </font>
    <font>
      <sz val="7.5"/>
      <name val="Arial"/>
      <family val="2"/>
    </font>
    <font>
      <b/>
      <sz val="8.5"/>
      <color indexed="8"/>
      <name val="Arial"/>
      <family val="2"/>
    </font>
    <font>
      <sz val="8.5"/>
      <color indexed="8"/>
      <name val="Arial"/>
      <family val="2"/>
    </font>
    <font>
      <b/>
      <sz val="9.5"/>
      <color indexed="8"/>
      <name val="Arial"/>
      <family val="2"/>
    </font>
    <font>
      <sz val="7"/>
      <color indexed="8"/>
      <name val="Arial"/>
      <family val="2"/>
    </font>
    <font>
      <sz val="7.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8"/>
      <name val="Calibri"/>
      <family val="0"/>
    </font>
    <font>
      <b/>
      <sz val="17"/>
      <color indexed="8"/>
      <name val="Calibri"/>
      <family val="0"/>
    </font>
    <font>
      <sz val="17"/>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hair"/>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hair"/>
      <bottom style="hair"/>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8" fillId="32" borderId="0" applyNumberFormat="0" applyBorder="0" applyAlignment="0" applyProtection="0"/>
    <xf numFmtId="0" fontId="59" fillId="21" borderId="5" applyNumberFormat="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cellStyleXfs>
  <cellXfs count="336">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center" vertical="center"/>
    </xf>
    <xf numFmtId="0" fontId="12"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0" xfId="49">
      <alignment/>
      <protection/>
    </xf>
    <xf numFmtId="0" fontId="12" fillId="0" borderId="0" xfId="49" applyFont="1">
      <alignment/>
      <protection/>
    </xf>
    <xf numFmtId="0" fontId="12" fillId="0" borderId="0" xfId="49" applyFont="1" applyAlignment="1">
      <alignment horizontal="center"/>
      <protection/>
    </xf>
    <xf numFmtId="2" fontId="12" fillId="0" borderId="0" xfId="49" applyNumberFormat="1" applyFont="1" applyAlignment="1">
      <alignment horizontal="center"/>
      <protection/>
    </xf>
    <xf numFmtId="2" fontId="12" fillId="0" borderId="0" xfId="49" applyNumberFormat="1" applyFont="1" applyAlignment="1">
      <alignment horizontal="center" vertical="center"/>
      <protection/>
    </xf>
    <xf numFmtId="0" fontId="0" fillId="0" borderId="0" xfId="49" applyAlignment="1">
      <alignment vertical="center"/>
      <protection/>
    </xf>
    <xf numFmtId="0" fontId="16" fillId="0" borderId="0" xfId="49" applyFont="1" applyAlignment="1">
      <alignment horizontal="center" vertical="center"/>
      <protection/>
    </xf>
    <xf numFmtId="0" fontId="16" fillId="0" borderId="0" xfId="49" applyFont="1" applyAlignment="1">
      <alignment horizontal="left" vertical="center"/>
      <protection/>
    </xf>
    <xf numFmtId="177" fontId="1" fillId="0" borderId="0" xfId="59" applyFont="1" applyBorder="1" applyAlignment="1">
      <alignment horizontal="center" vertical="center"/>
    </xf>
    <xf numFmtId="177" fontId="1" fillId="0" borderId="0" xfId="59" applyFont="1" applyFill="1" applyBorder="1" applyAlignment="1">
      <alignment horizontal="center" vertical="center"/>
    </xf>
    <xf numFmtId="182" fontId="2" fillId="0" borderId="0" xfId="49" applyNumberFormat="1" applyFont="1">
      <alignment/>
      <protection/>
    </xf>
    <xf numFmtId="14" fontId="2" fillId="0" borderId="0" xfId="49" applyNumberFormat="1" applyFont="1" applyAlignment="1">
      <alignment horizontal="left"/>
      <protection/>
    </xf>
    <xf numFmtId="0" fontId="12" fillId="0" borderId="0" xfId="49" applyFont="1" applyAlignment="1">
      <alignment horizontal="left" vertical="center"/>
      <protection/>
    </xf>
    <xf numFmtId="177" fontId="12" fillId="0" borderId="0" xfId="59" applyFont="1" applyBorder="1" applyAlignment="1">
      <alignment vertical="center"/>
    </xf>
    <xf numFmtId="0" fontId="12" fillId="0" borderId="0" xfId="49" applyFont="1" applyAlignment="1">
      <alignment horizontal="center" vertical="center"/>
      <protection/>
    </xf>
    <xf numFmtId="0" fontId="0" fillId="0" borderId="0" xfId="49" applyAlignment="1">
      <alignment horizontal="center" vertical="center"/>
      <protection/>
    </xf>
    <xf numFmtId="177" fontId="12" fillId="0" borderId="0" xfId="59" applyFont="1" applyBorder="1" applyAlignment="1">
      <alignment horizontal="center" vertical="center"/>
    </xf>
    <xf numFmtId="177" fontId="12" fillId="0" borderId="0" xfId="59" applyFont="1" applyFill="1" applyBorder="1" applyAlignment="1">
      <alignment horizontal="center" vertical="center"/>
    </xf>
    <xf numFmtId="0" fontId="0" fillId="0" borderId="0" xfId="49" applyAlignment="1">
      <alignment horizontal="center"/>
      <protection/>
    </xf>
    <xf numFmtId="0" fontId="17" fillId="0" borderId="0" xfId="49" applyFont="1" applyAlignment="1">
      <alignment horizontal="left"/>
      <protection/>
    </xf>
    <xf numFmtId="177" fontId="0" fillId="0" borderId="0" xfId="59" applyAlignment="1">
      <alignment horizontal="center"/>
    </xf>
    <xf numFmtId="0" fontId="17" fillId="0" borderId="0" xfId="49" applyFont="1" applyAlignment="1">
      <alignment horizontal="center"/>
      <protection/>
    </xf>
    <xf numFmtId="177" fontId="0" fillId="0" borderId="0" xfId="59" applyAlignment="1">
      <alignment/>
    </xf>
    <xf numFmtId="0" fontId="18" fillId="0" borderId="0" xfId="49" applyFont="1" applyAlignment="1">
      <alignment horizontal="left"/>
      <protection/>
    </xf>
    <xf numFmtId="0" fontId="0" fillId="0" borderId="0" xfId="49" applyAlignment="1">
      <alignment horizontal="left"/>
      <protection/>
    </xf>
    <xf numFmtId="2" fontId="0" fillId="0" borderId="0" xfId="59" applyNumberFormat="1" applyFont="1" applyBorder="1" applyAlignment="1">
      <alignment horizontal="right"/>
    </xf>
    <xf numFmtId="2" fontId="0" fillId="0" borderId="0" xfId="59" applyNumberFormat="1" applyBorder="1" applyAlignment="1">
      <alignment horizontal="right"/>
    </xf>
    <xf numFmtId="0" fontId="0" fillId="33" borderId="0" xfId="49" applyFill="1">
      <alignment/>
      <protection/>
    </xf>
    <xf numFmtId="0" fontId="0" fillId="33" borderId="0" xfId="49" applyFill="1" applyAlignment="1">
      <alignment wrapText="1"/>
      <protection/>
    </xf>
    <xf numFmtId="0" fontId="0" fillId="0" borderId="14" xfId="49" applyBorder="1" applyAlignment="1">
      <alignment vertical="center"/>
      <protection/>
    </xf>
    <xf numFmtId="0" fontId="0" fillId="0" borderId="15" xfId="49" applyBorder="1" applyAlignment="1">
      <alignment vertical="center"/>
      <protection/>
    </xf>
    <xf numFmtId="0" fontId="2" fillId="33" borderId="16" xfId="49" applyFont="1" applyFill="1" applyBorder="1">
      <alignment/>
      <protection/>
    </xf>
    <xf numFmtId="0" fontId="1" fillId="0" borderId="15" xfId="49" applyFont="1" applyBorder="1" applyAlignment="1">
      <alignment vertical="center"/>
      <protection/>
    </xf>
    <xf numFmtId="0" fontId="0" fillId="33" borderId="16" xfId="49" applyFill="1" applyBorder="1">
      <alignment/>
      <protection/>
    </xf>
    <xf numFmtId="0" fontId="0" fillId="33" borderId="15" xfId="49" applyFill="1" applyBorder="1">
      <alignment/>
      <protection/>
    </xf>
    <xf numFmtId="49" fontId="14" fillId="0" borderId="0" xfId="49" applyNumberFormat="1" applyFont="1" applyAlignment="1">
      <alignment vertical="center"/>
      <protection/>
    </xf>
    <xf numFmtId="0" fontId="1" fillId="0" borderId="13" xfId="49" applyFont="1" applyBorder="1" applyAlignment="1">
      <alignment horizontal="center" vertical="center"/>
      <protection/>
    </xf>
    <xf numFmtId="0" fontId="1" fillId="0" borderId="12" xfId="49" applyFont="1" applyBorder="1" applyAlignment="1">
      <alignment horizontal="center" vertical="center"/>
      <protection/>
    </xf>
    <xf numFmtId="177" fontId="5" fillId="0" borderId="10" xfId="60" applyFont="1" applyFill="1" applyBorder="1" applyAlignment="1">
      <alignment vertical="center"/>
    </xf>
    <xf numFmtId="177" fontId="1" fillId="0" borderId="10" xfId="58" applyFont="1" applyFill="1" applyBorder="1" applyAlignment="1">
      <alignment horizontal="center" vertical="center"/>
    </xf>
    <xf numFmtId="177" fontId="1" fillId="0" borderId="0" xfId="58" applyFont="1" applyBorder="1" applyAlignment="1">
      <alignment horizontal="center"/>
    </xf>
    <xf numFmtId="0" fontId="7" fillId="0" borderId="14" xfId="49" applyFont="1" applyBorder="1" applyAlignment="1">
      <alignment vertical="center"/>
      <protection/>
    </xf>
    <xf numFmtId="10" fontId="1" fillId="33" borderId="17" xfId="70" applyNumberFormat="1" applyFont="1" applyFill="1" applyBorder="1" applyAlignment="1">
      <alignment vertical="top" wrapText="1"/>
    </xf>
    <xf numFmtId="10" fontId="1" fillId="33" borderId="17" xfId="49" applyNumberFormat="1" applyFont="1" applyFill="1" applyBorder="1" applyAlignment="1">
      <alignment vertical="top" wrapText="1"/>
      <protection/>
    </xf>
    <xf numFmtId="0" fontId="1" fillId="0" borderId="0" xfId="49" applyFont="1" applyBorder="1" applyAlignment="1">
      <alignment horizontal="center" vertical="center"/>
      <protection/>
    </xf>
    <xf numFmtId="2" fontId="1" fillId="0" borderId="12" xfId="49" applyNumberFormat="1" applyFont="1" applyBorder="1" applyAlignment="1">
      <alignment horizontal="center" vertical="center"/>
      <protection/>
    </xf>
    <xf numFmtId="0" fontId="8" fillId="0" borderId="18" xfId="0" applyFont="1" applyFill="1" applyBorder="1" applyAlignment="1">
      <alignment horizontal="center"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3" xfId="0" applyFont="1" applyFill="1" applyBorder="1" applyAlignment="1">
      <alignment vertical="center"/>
    </xf>
    <xf numFmtId="2" fontId="10" fillId="0" borderId="13" xfId="69" applyNumberFormat="1" applyFont="1" applyFill="1" applyBorder="1" applyAlignment="1">
      <alignment horizontal="center" vertical="center" wrapText="1"/>
    </xf>
    <xf numFmtId="4" fontId="10" fillId="0" borderId="13" xfId="0" applyNumberFormat="1" applyFont="1" applyBorder="1" applyAlignment="1">
      <alignment horizontal="center" vertical="center" wrapText="1"/>
    </xf>
    <xf numFmtId="177" fontId="6" fillId="0" borderId="12" xfId="69" applyFont="1" applyBorder="1" applyAlignment="1">
      <alignment/>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2" fillId="33" borderId="12" xfId="49" applyFont="1" applyFill="1" applyBorder="1" applyAlignment="1">
      <alignment horizontal="center" vertical="center"/>
      <protection/>
    </xf>
    <xf numFmtId="0" fontId="2" fillId="33" borderId="19" xfId="49" applyFont="1" applyFill="1" applyBorder="1" applyAlignment="1">
      <alignment horizontal="center" vertical="center"/>
      <protection/>
    </xf>
    <xf numFmtId="0" fontId="2" fillId="33" borderId="12" xfId="49" applyFont="1" applyFill="1" applyBorder="1" applyAlignment="1">
      <alignment horizontal="center" vertical="center" wrapText="1"/>
      <protection/>
    </xf>
    <xf numFmtId="0" fontId="0" fillId="33" borderId="20" xfId="49" applyFill="1" applyBorder="1">
      <alignment/>
      <protection/>
    </xf>
    <xf numFmtId="0" fontId="0" fillId="33" borderId="18" xfId="49" applyFill="1" applyBorder="1">
      <alignment/>
      <protection/>
    </xf>
    <xf numFmtId="0" fontId="0" fillId="33" borderId="18" xfId="49" applyFill="1" applyBorder="1" applyAlignment="1">
      <alignment wrapText="1"/>
      <protection/>
    </xf>
    <xf numFmtId="0" fontId="0" fillId="33" borderId="21" xfId="49" applyFill="1" applyBorder="1">
      <alignment/>
      <protection/>
    </xf>
    <xf numFmtId="0" fontId="2" fillId="33" borderId="16" xfId="49" applyFont="1" applyFill="1" applyBorder="1" applyAlignment="1">
      <alignment wrapText="1"/>
      <protection/>
    </xf>
    <xf numFmtId="0" fontId="2" fillId="33" borderId="0" xfId="49" applyFont="1" applyFill="1" applyBorder="1" applyAlignment="1">
      <alignment wrapText="1"/>
      <protection/>
    </xf>
    <xf numFmtId="0" fontId="0" fillId="33" borderId="0" xfId="49" applyFill="1" applyBorder="1">
      <alignment/>
      <protection/>
    </xf>
    <xf numFmtId="0" fontId="12" fillId="33" borderId="15" xfId="49" applyFont="1" applyFill="1" applyBorder="1">
      <alignment/>
      <protection/>
    </xf>
    <xf numFmtId="0" fontId="0" fillId="33" borderId="0" xfId="49" applyFill="1" applyBorder="1" applyAlignment="1">
      <alignment wrapText="1"/>
      <protection/>
    </xf>
    <xf numFmtId="0" fontId="11" fillId="33" borderId="16" xfId="49" applyFont="1" applyFill="1" applyBorder="1">
      <alignment/>
      <protection/>
    </xf>
    <xf numFmtId="0" fontId="11" fillId="33" borderId="0" xfId="49" applyFont="1" applyFill="1" applyBorder="1" applyAlignment="1">
      <alignment wrapText="1"/>
      <protection/>
    </xf>
    <xf numFmtId="0" fontId="2" fillId="33" borderId="0" xfId="49" applyFont="1" applyFill="1" applyBorder="1" applyAlignment="1">
      <alignment horizontal="right"/>
      <protection/>
    </xf>
    <xf numFmtId="0" fontId="12" fillId="33" borderId="22" xfId="49" applyFont="1" applyFill="1" applyBorder="1">
      <alignment/>
      <protection/>
    </xf>
    <xf numFmtId="0" fontId="12" fillId="33" borderId="14" xfId="49" applyFont="1" applyFill="1" applyBorder="1" applyAlignment="1">
      <alignment wrapText="1"/>
      <protection/>
    </xf>
    <xf numFmtId="0" fontId="0" fillId="33" borderId="14" xfId="49" applyFill="1" applyBorder="1">
      <alignment/>
      <protection/>
    </xf>
    <xf numFmtId="0" fontId="0" fillId="33" borderId="23" xfId="49" applyFill="1" applyBorder="1">
      <alignment/>
      <protection/>
    </xf>
    <xf numFmtId="0" fontId="0" fillId="33" borderId="22" xfId="49" applyFill="1" applyBorder="1">
      <alignment/>
      <protection/>
    </xf>
    <xf numFmtId="0" fontId="2" fillId="33" borderId="15" xfId="49" applyFont="1" applyFill="1" applyBorder="1" applyAlignment="1">
      <alignment wrapText="1"/>
      <protection/>
    </xf>
    <xf numFmtId="10" fontId="1" fillId="33" borderId="24" xfId="70" applyNumberFormat="1" applyFont="1" applyFill="1" applyBorder="1" applyAlignment="1">
      <alignment vertical="top" wrapText="1"/>
    </xf>
    <xf numFmtId="10" fontId="1" fillId="33" borderId="24" xfId="49" applyNumberFormat="1" applyFont="1" applyFill="1" applyBorder="1" applyAlignment="1">
      <alignment vertical="top" wrapText="1"/>
      <protection/>
    </xf>
    <xf numFmtId="0" fontId="6" fillId="0" borderId="12" xfId="0" applyFont="1" applyBorder="1" applyAlignment="1">
      <alignment/>
    </xf>
    <xf numFmtId="2" fontId="6" fillId="0" borderId="12" xfId="0" applyNumberFormat="1" applyFont="1" applyBorder="1" applyAlignment="1">
      <alignment/>
    </xf>
    <xf numFmtId="0" fontId="6" fillId="0" borderId="12" xfId="0" applyFont="1" applyBorder="1" applyAlignment="1">
      <alignment horizontal="center"/>
    </xf>
    <xf numFmtId="49" fontId="1" fillId="33" borderId="24" xfId="49" applyNumberFormat="1" applyFont="1" applyFill="1" applyBorder="1" applyAlignment="1">
      <alignment horizontal="center" vertical="top" wrapText="1"/>
      <protection/>
    </xf>
    <xf numFmtId="49" fontId="1" fillId="33" borderId="25" xfId="49" applyNumberFormat="1" applyFont="1" applyFill="1" applyBorder="1" applyAlignment="1">
      <alignment horizontal="center" vertical="top" wrapText="1"/>
      <protection/>
    </xf>
    <xf numFmtId="183" fontId="1" fillId="33" borderId="25" xfId="49" applyNumberFormat="1" applyFont="1" applyFill="1" applyBorder="1" applyAlignment="1">
      <alignment vertical="top" wrapText="1"/>
      <protection/>
    </xf>
    <xf numFmtId="49" fontId="1" fillId="33" borderId="17" xfId="49" applyNumberFormat="1" applyFont="1" applyFill="1" applyBorder="1" applyAlignment="1">
      <alignment horizontal="center" vertical="top" wrapText="1"/>
      <protection/>
    </xf>
    <xf numFmtId="49" fontId="1" fillId="33" borderId="26" xfId="49" applyNumberFormat="1" applyFont="1" applyFill="1" applyBorder="1" applyAlignment="1">
      <alignment horizontal="center" vertical="top" wrapText="1"/>
      <protection/>
    </xf>
    <xf numFmtId="183" fontId="1" fillId="33" borderId="27" xfId="49" applyNumberFormat="1" applyFont="1" applyFill="1" applyBorder="1" applyAlignment="1">
      <alignment vertical="top" wrapText="1"/>
      <protection/>
    </xf>
    <xf numFmtId="49" fontId="7" fillId="33" borderId="24" xfId="49" applyNumberFormat="1" applyFont="1" applyFill="1" applyBorder="1" applyAlignment="1">
      <alignment horizontal="center" vertical="top" wrapText="1"/>
      <protection/>
    </xf>
    <xf numFmtId="49" fontId="7" fillId="33" borderId="25" xfId="49" applyNumberFormat="1" applyFont="1" applyFill="1" applyBorder="1" applyAlignment="1">
      <alignment horizontal="center" vertical="top" wrapText="1"/>
      <protection/>
    </xf>
    <xf numFmtId="177" fontId="1" fillId="33" borderId="12" xfId="69" applyFont="1" applyFill="1" applyBorder="1" applyAlignment="1">
      <alignment wrapText="1"/>
    </xf>
    <xf numFmtId="177" fontId="1" fillId="0" borderId="0" xfId="59" applyFont="1" applyBorder="1" applyAlignment="1">
      <alignment/>
    </xf>
    <xf numFmtId="0" fontId="0" fillId="0" borderId="0" xfId="49" applyBorder="1">
      <alignment/>
      <protection/>
    </xf>
    <xf numFmtId="177" fontId="1" fillId="0" borderId="0" xfId="69" applyFont="1" applyBorder="1" applyAlignment="1">
      <alignment/>
    </xf>
    <xf numFmtId="177" fontId="0" fillId="0" borderId="0" xfId="59" applyBorder="1" applyAlignment="1">
      <alignment/>
    </xf>
    <xf numFmtId="43" fontId="1" fillId="0" borderId="0" xfId="49" applyNumberFormat="1" applyFont="1" applyBorder="1">
      <alignment/>
      <protection/>
    </xf>
    <xf numFmtId="0" fontId="16" fillId="0" borderId="12" xfId="0" applyFont="1" applyBorder="1" applyAlignment="1">
      <alignment vertical="center"/>
    </xf>
    <xf numFmtId="4" fontId="13" fillId="0" borderId="13" xfId="0" applyNumberFormat="1" applyFont="1" applyBorder="1" applyAlignment="1">
      <alignment horizontal="center" vertical="center" wrapText="1"/>
    </xf>
    <xf numFmtId="0" fontId="9" fillId="0" borderId="13" xfId="0" applyFont="1" applyBorder="1" applyAlignment="1">
      <alignment horizontal="center" vertical="center"/>
    </xf>
    <xf numFmtId="49" fontId="16" fillId="0" borderId="0" xfId="0" applyNumberFormat="1" applyFont="1" applyBorder="1" applyAlignment="1">
      <alignment horizontal="left" vertical="center" wrapText="1"/>
    </xf>
    <xf numFmtId="0" fontId="16" fillId="0" borderId="12" xfId="0" applyFont="1" applyBorder="1" applyAlignment="1">
      <alignment vertical="center" wrapText="1"/>
    </xf>
    <xf numFmtId="0" fontId="8" fillId="0" borderId="14" xfId="0" applyFont="1" applyFill="1" applyBorder="1" applyAlignment="1">
      <alignment vertical="center"/>
    </xf>
    <xf numFmtId="0" fontId="8" fillId="0" borderId="11" xfId="0" applyFont="1" applyFill="1" applyBorder="1" applyAlignment="1">
      <alignment vertical="center"/>
    </xf>
    <xf numFmtId="177" fontId="6" fillId="0" borderId="0" xfId="69" applyFont="1" applyAlignment="1">
      <alignment/>
    </xf>
    <xf numFmtId="197" fontId="23" fillId="0" borderId="13" xfId="69" applyNumberFormat="1" applyFont="1" applyBorder="1" applyAlignment="1">
      <alignment horizontal="right" vertical="center" wrapText="1"/>
    </xf>
    <xf numFmtId="0" fontId="8" fillId="0" borderId="19" xfId="0" applyFont="1" applyFill="1" applyBorder="1" applyAlignment="1">
      <alignment vertical="center"/>
    </xf>
    <xf numFmtId="0" fontId="25" fillId="0" borderId="12" xfId="0" applyFont="1" applyBorder="1" applyAlignment="1">
      <alignment horizontal="center" vertical="center" wrapText="1"/>
    </xf>
    <xf numFmtId="0" fontId="26" fillId="0" borderId="12" xfId="0" applyFont="1" applyBorder="1" applyAlignment="1">
      <alignment horizontal="center" vertical="center" wrapText="1"/>
    </xf>
    <xf numFmtId="49" fontId="15" fillId="0" borderId="12"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0" fontId="16" fillId="0" borderId="12" xfId="0" applyFont="1" applyBorder="1" applyAlignment="1" quotePrefix="1">
      <alignment horizontal="center" vertical="center" wrapText="1"/>
    </xf>
    <xf numFmtId="0" fontId="27" fillId="0" borderId="0" xfId="0" applyFont="1" applyBorder="1" applyAlignment="1">
      <alignment horizontal="right" vertical="center" wrapText="1"/>
    </xf>
    <xf numFmtId="177" fontId="27" fillId="0" borderId="0" xfId="69" applyFont="1" applyBorder="1" applyAlignment="1">
      <alignment horizontal="center" vertical="center" wrapText="1"/>
    </xf>
    <xf numFmtId="0" fontId="15" fillId="0" borderId="13" xfId="0" applyFont="1" applyBorder="1" applyAlignment="1">
      <alignment vertical="center"/>
    </xf>
    <xf numFmtId="0" fontId="0" fillId="0" borderId="0" xfId="49" applyBorder="1" applyAlignment="1">
      <alignment vertical="center"/>
      <protection/>
    </xf>
    <xf numFmtId="177" fontId="0" fillId="0" borderId="0" xfId="69" applyFont="1" applyBorder="1" applyAlignment="1">
      <alignment vertical="center"/>
    </xf>
    <xf numFmtId="177" fontId="1" fillId="0" borderId="10" xfId="70" applyFont="1" applyBorder="1" applyAlignment="1">
      <alignment horizontal="center" vertical="center"/>
    </xf>
    <xf numFmtId="177" fontId="28" fillId="0" borderId="12" xfId="69" applyFont="1" applyBorder="1" applyAlignment="1">
      <alignment horizontal="center" vertical="center" wrapText="1"/>
    </xf>
    <xf numFmtId="177" fontId="28" fillId="0" borderId="0" xfId="69" applyFont="1" applyAlignment="1">
      <alignment/>
    </xf>
    <xf numFmtId="177" fontId="28" fillId="0" borderId="12" xfId="0" applyNumberFormat="1" applyFont="1" applyBorder="1" applyAlignment="1">
      <alignment/>
    </xf>
    <xf numFmtId="185" fontId="5" fillId="0" borderId="12" xfId="0" applyNumberFormat="1" applyFont="1" applyBorder="1" applyAlignment="1">
      <alignment/>
    </xf>
    <xf numFmtId="0" fontId="5" fillId="0" borderId="0" xfId="0" applyFont="1" applyAlignment="1">
      <alignment/>
    </xf>
    <xf numFmtId="9" fontId="5" fillId="0" borderId="12" xfId="0" applyNumberFormat="1" applyFont="1" applyBorder="1" applyAlignment="1">
      <alignment horizontal="right" vertical="center"/>
    </xf>
    <xf numFmtId="177" fontId="5" fillId="0" borderId="12" xfId="69" applyFont="1" applyBorder="1" applyAlignment="1">
      <alignment horizontal="right" vertical="center"/>
    </xf>
    <xf numFmtId="2" fontId="26" fillId="0" borderId="13" xfId="69" applyNumberFormat="1" applyFont="1" applyFill="1" applyBorder="1" applyAlignment="1">
      <alignment horizontal="center" vertical="center" wrapText="1"/>
    </xf>
    <xf numFmtId="4" fontId="26" fillId="0" borderId="12" xfId="0" applyNumberFormat="1" applyFont="1" applyBorder="1" applyAlignment="1">
      <alignment horizontal="right" vertical="center" wrapText="1"/>
    </xf>
    <xf numFmtId="2" fontId="26" fillId="0" borderId="12" xfId="69" applyNumberFormat="1" applyFont="1" applyFill="1" applyBorder="1" applyAlignment="1">
      <alignment horizontal="center" vertical="center" wrapText="1"/>
    </xf>
    <xf numFmtId="191" fontId="9" fillId="0" borderId="12" xfId="69" applyNumberFormat="1" applyFont="1" applyBorder="1" applyAlignment="1">
      <alignment horizontal="center" vertical="center" wrapText="1"/>
    </xf>
    <xf numFmtId="4" fontId="1" fillId="33" borderId="25" xfId="49" applyNumberFormat="1" applyFont="1" applyFill="1" applyBorder="1" applyAlignment="1">
      <alignment vertical="top" wrapText="1"/>
      <protection/>
    </xf>
    <xf numFmtId="4" fontId="1" fillId="33" borderId="0" xfId="49" applyNumberFormat="1" applyFont="1" applyFill="1">
      <alignment/>
      <protection/>
    </xf>
    <xf numFmtId="0" fontId="1" fillId="33" borderId="0" xfId="49" applyFont="1" applyFill="1">
      <alignment/>
      <protection/>
    </xf>
    <xf numFmtId="0" fontId="16" fillId="0" borderId="12" xfId="0" applyFont="1" applyBorder="1" applyAlignment="1">
      <alignment horizontal="center" vertical="center" wrapText="1"/>
    </xf>
    <xf numFmtId="0" fontId="15" fillId="0" borderId="12" xfId="0" applyFont="1" applyBorder="1" applyAlignment="1">
      <alignment vertical="center" wrapText="1"/>
    </xf>
    <xf numFmtId="0" fontId="6" fillId="0" borderId="0" xfId="0" applyFont="1" applyBorder="1" applyAlignment="1">
      <alignment wrapText="1"/>
    </xf>
    <xf numFmtId="177" fontId="6" fillId="0" borderId="0" xfId="69" applyFont="1" applyBorder="1" applyAlignment="1">
      <alignment horizontal="center" vertical="center"/>
    </xf>
    <xf numFmtId="177" fontId="26" fillId="0" borderId="12" xfId="69" applyFont="1" applyFill="1" applyBorder="1" applyAlignment="1">
      <alignment horizontal="right" vertical="center" wrapText="1"/>
    </xf>
    <xf numFmtId="0" fontId="6" fillId="33" borderId="14" xfId="50" applyFont="1" applyFill="1" applyBorder="1">
      <alignment/>
      <protection/>
    </xf>
    <xf numFmtId="0" fontId="6" fillId="0" borderId="0" xfId="50" applyFont="1">
      <alignment/>
      <protection/>
    </xf>
    <xf numFmtId="0" fontId="0" fillId="0" borderId="0" xfId="51">
      <alignment/>
      <protection/>
    </xf>
    <xf numFmtId="0" fontId="2" fillId="33" borderId="19" xfId="51" applyFont="1" applyFill="1" applyBorder="1" applyAlignment="1">
      <alignment horizontal="left" vertical="center"/>
      <protection/>
    </xf>
    <xf numFmtId="0" fontId="2" fillId="33" borderId="11" xfId="51" applyFont="1" applyFill="1" applyBorder="1" applyAlignment="1">
      <alignment vertical="center"/>
      <protection/>
    </xf>
    <xf numFmtId="0" fontId="2" fillId="33" borderId="10" xfId="51" applyFont="1" applyFill="1" applyBorder="1" applyAlignment="1">
      <alignment vertical="center"/>
      <protection/>
    </xf>
    <xf numFmtId="0" fontId="0" fillId="0" borderId="0" xfId="50">
      <alignment/>
      <protection/>
    </xf>
    <xf numFmtId="0" fontId="10" fillId="0" borderId="0" xfId="0" applyFont="1" applyAlignment="1">
      <alignment horizontal="center" vertical="center" wrapText="1"/>
    </xf>
    <xf numFmtId="0" fontId="12" fillId="0" borderId="0" xfId="0" applyFont="1" applyAlignment="1">
      <alignment/>
    </xf>
    <xf numFmtId="0" fontId="12" fillId="0" borderId="0" xfId="0" applyFont="1" applyAlignment="1">
      <alignment horizontal="center" wrapText="1"/>
    </xf>
    <xf numFmtId="4" fontId="0" fillId="0" borderId="0" xfId="50" applyNumberFormat="1" applyFont="1" applyAlignment="1">
      <alignment horizontal="center"/>
      <protection/>
    </xf>
    <xf numFmtId="4" fontId="0" fillId="0" borderId="0" xfId="50" applyNumberFormat="1" applyFont="1" applyAlignment="1">
      <alignment horizontal="center" wrapText="1"/>
      <protection/>
    </xf>
    <xf numFmtId="4" fontId="0" fillId="0" borderId="0" xfId="50" applyNumberFormat="1" applyFont="1" applyAlignment="1">
      <alignment horizontal="right" wrapText="1"/>
      <protection/>
    </xf>
    <xf numFmtId="0" fontId="0" fillId="33" borderId="16" xfId="51" applyFill="1" applyBorder="1" applyAlignment="1">
      <alignment horizontal="right"/>
      <protection/>
    </xf>
    <xf numFmtId="0" fontId="0" fillId="33" borderId="0" xfId="51" applyFill="1" applyAlignment="1">
      <alignment horizontal="center"/>
      <protection/>
    </xf>
    <xf numFmtId="4" fontId="0" fillId="33" borderId="0" xfId="51" applyNumberFormat="1" applyFill="1">
      <alignment/>
      <protection/>
    </xf>
    <xf numFmtId="0" fontId="0" fillId="33" borderId="0" xfId="51" applyFill="1">
      <alignment/>
      <protection/>
    </xf>
    <xf numFmtId="0" fontId="0" fillId="33" borderId="15" xfId="51" applyFill="1" applyBorder="1">
      <alignment/>
      <protection/>
    </xf>
    <xf numFmtId="0" fontId="0" fillId="33" borderId="16" xfId="51" applyFill="1" applyBorder="1" applyAlignment="1">
      <alignment horizontal="left"/>
      <protection/>
    </xf>
    <xf numFmtId="0" fontId="2" fillId="33" borderId="0" xfId="51" applyFont="1" applyFill="1">
      <alignment/>
      <protection/>
    </xf>
    <xf numFmtId="0" fontId="2" fillId="33" borderId="0" xfId="51" applyFont="1" applyFill="1" applyAlignment="1">
      <alignment horizontal="center"/>
      <protection/>
    </xf>
    <xf numFmtId="4" fontId="2" fillId="33" borderId="0" xfId="51" applyNumberFormat="1" applyFont="1" applyFill="1">
      <alignment/>
      <protection/>
    </xf>
    <xf numFmtId="11" fontId="2" fillId="33" borderId="0" xfId="51" applyNumberFormat="1" applyFont="1" applyFill="1" applyAlignment="1">
      <alignment horizontal="center"/>
      <protection/>
    </xf>
    <xf numFmtId="0" fontId="0" fillId="33" borderId="22" xfId="51" applyFill="1" applyBorder="1" applyAlignment="1">
      <alignment horizontal="left"/>
      <protection/>
    </xf>
    <xf numFmtId="0" fontId="2" fillId="33" borderId="14" xfId="51" applyFont="1" applyFill="1" applyBorder="1">
      <alignment/>
      <protection/>
    </xf>
    <xf numFmtId="11" fontId="2" fillId="33" borderId="14" xfId="51" applyNumberFormat="1" applyFont="1" applyFill="1" applyBorder="1" applyAlignment="1" applyProtection="1">
      <alignment horizontal="center" vertical="center"/>
      <protection locked="0"/>
    </xf>
    <xf numFmtId="4" fontId="2" fillId="33" borderId="14" xfId="51" applyNumberFormat="1" applyFont="1" applyFill="1" applyBorder="1">
      <alignment/>
      <protection/>
    </xf>
    <xf numFmtId="11" fontId="2" fillId="33" borderId="14" xfId="51" applyNumberFormat="1" applyFont="1" applyFill="1" applyBorder="1" applyAlignment="1">
      <alignment horizontal="center"/>
      <protection/>
    </xf>
    <xf numFmtId="0" fontId="0" fillId="33" borderId="23" xfId="51" applyFill="1" applyBorder="1">
      <alignment/>
      <protection/>
    </xf>
    <xf numFmtId="0" fontId="0" fillId="0" borderId="0" xfId="50" applyAlignment="1">
      <alignment horizontal="center"/>
      <protection/>
    </xf>
    <xf numFmtId="177" fontId="0" fillId="0" borderId="0" xfId="50" applyNumberFormat="1">
      <alignment/>
      <protection/>
    </xf>
    <xf numFmtId="2" fontId="0" fillId="0" borderId="0" xfId="50" applyNumberFormat="1">
      <alignment/>
      <protection/>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1" fillId="0" borderId="12" xfId="0" applyFont="1" applyBorder="1" applyAlignment="1">
      <alignment horizontal="center" vertical="center"/>
    </xf>
    <xf numFmtId="4" fontId="26" fillId="0" borderId="12" xfId="0" applyNumberFormat="1" applyFont="1" applyFill="1" applyBorder="1" applyAlignment="1">
      <alignment horizontal="right" vertical="center" wrapText="1"/>
    </xf>
    <xf numFmtId="0" fontId="16" fillId="0" borderId="12" xfId="0" applyFont="1" applyBorder="1" applyAlignment="1">
      <alignment horizontal="left" vertical="center" wrapText="1"/>
    </xf>
    <xf numFmtId="177" fontId="26" fillId="0" borderId="13" xfId="69" applyFont="1" applyFill="1" applyBorder="1" applyAlignment="1">
      <alignment horizontal="right" vertical="center" wrapText="1"/>
    </xf>
    <xf numFmtId="177" fontId="26" fillId="0" borderId="12" xfId="69" applyFont="1" applyFill="1" applyBorder="1" applyAlignment="1">
      <alignment horizontal="center" vertical="center" wrapText="1"/>
    </xf>
    <xf numFmtId="177" fontId="16" fillId="0" borderId="12" xfId="69" applyFont="1" applyBorder="1" applyAlignment="1">
      <alignment horizontal="right" vertical="center" wrapText="1"/>
    </xf>
    <xf numFmtId="177" fontId="16" fillId="0" borderId="12" xfId="69" applyFont="1" applyBorder="1" applyAlignment="1">
      <alignment horizontal="center" vertical="center" wrapText="1"/>
    </xf>
    <xf numFmtId="177" fontId="15" fillId="0" borderId="12" xfId="69" applyFont="1" applyBorder="1" applyAlignment="1">
      <alignment horizontal="right" vertical="center" wrapText="1"/>
    </xf>
    <xf numFmtId="0" fontId="8" fillId="0" borderId="22" xfId="0" applyFont="1" applyFill="1" applyBorder="1" applyAlignment="1">
      <alignment vertical="center"/>
    </xf>
    <xf numFmtId="10" fontId="6" fillId="0" borderId="21" xfId="53" applyNumberFormat="1" applyFont="1" applyFill="1" applyBorder="1" applyAlignment="1">
      <alignment horizontal="center" vertical="center"/>
    </xf>
    <xf numFmtId="0" fontId="29" fillId="0" borderId="12" xfId="0" applyFont="1" applyFill="1" applyBorder="1" applyAlignment="1">
      <alignment horizontal="center" vertical="center"/>
    </xf>
    <xf numFmtId="0" fontId="16" fillId="0" borderId="12" xfId="0" applyFont="1" applyFill="1" applyBorder="1" applyAlignment="1">
      <alignment vertical="center"/>
    </xf>
    <xf numFmtId="0" fontId="0" fillId="0" borderId="12" xfId="49" applyBorder="1" applyAlignment="1">
      <alignment horizontal="center" vertical="center"/>
      <protection/>
    </xf>
    <xf numFmtId="177" fontId="0" fillId="0" borderId="12" xfId="69" applyFont="1" applyBorder="1" applyAlignment="1">
      <alignment horizontal="center" vertical="center"/>
    </xf>
    <xf numFmtId="43" fontId="6" fillId="0" borderId="0" xfId="0" applyNumberFormat="1" applyFont="1" applyAlignment="1">
      <alignment/>
    </xf>
    <xf numFmtId="0" fontId="12" fillId="0" borderId="12" xfId="0" applyFont="1" applyBorder="1" applyAlignment="1">
      <alignment vertical="center" wrapText="1"/>
    </xf>
    <xf numFmtId="0" fontId="0" fillId="33" borderId="23" xfId="49" applyFont="1" applyFill="1" applyBorder="1" applyAlignment="1">
      <alignment vertical="center"/>
      <protection/>
    </xf>
    <xf numFmtId="177" fontId="1" fillId="0" borderId="19" xfId="70" applyFont="1" applyBorder="1" applyAlignment="1">
      <alignment horizontal="center" vertical="center"/>
    </xf>
    <xf numFmtId="177" fontId="1" fillId="0" borderId="11" xfId="70" applyFont="1" applyBorder="1" applyAlignment="1">
      <alignment horizontal="center" vertical="center"/>
    </xf>
    <xf numFmtId="177" fontId="1" fillId="0" borderId="10" xfId="70" applyFont="1" applyBorder="1" applyAlignment="1">
      <alignment horizontal="center" vertical="center"/>
    </xf>
    <xf numFmtId="0" fontId="1" fillId="0" borderId="19" xfId="49" applyFont="1" applyBorder="1" applyAlignment="1">
      <alignment horizontal="center" vertical="center" wrapText="1"/>
      <protection/>
    </xf>
    <xf numFmtId="0" fontId="1" fillId="0" borderId="11" xfId="49" applyFont="1" applyBorder="1" applyAlignment="1">
      <alignment horizontal="center" vertical="center" wrapText="1"/>
      <protection/>
    </xf>
    <xf numFmtId="0" fontId="1" fillId="0" borderId="10" xfId="49" applyFont="1" applyBorder="1" applyAlignment="1">
      <alignment horizontal="center" vertical="center" wrapText="1"/>
      <protection/>
    </xf>
    <xf numFmtId="0" fontId="1" fillId="0" borderId="19" xfId="49" applyFont="1" applyBorder="1" applyAlignment="1">
      <alignment horizontal="left" vertical="center" wrapText="1"/>
      <protection/>
    </xf>
    <xf numFmtId="0" fontId="1" fillId="0" borderId="11" xfId="49" applyFont="1" applyBorder="1" applyAlignment="1">
      <alignment horizontal="left" vertical="center" wrapText="1"/>
      <protection/>
    </xf>
    <xf numFmtId="0" fontId="1" fillId="0" borderId="10" xfId="49" applyFont="1" applyBorder="1" applyAlignment="1">
      <alignment horizontal="left" vertical="center" wrapText="1"/>
      <protection/>
    </xf>
    <xf numFmtId="0" fontId="1" fillId="0" borderId="19" xfId="49" applyFont="1" applyBorder="1" applyAlignment="1">
      <alignment horizontal="center" vertical="center"/>
      <protection/>
    </xf>
    <xf numFmtId="0" fontId="1" fillId="0" borderId="11" xfId="49" applyFont="1" applyBorder="1" applyAlignment="1">
      <alignment horizontal="center" vertical="center"/>
      <protection/>
    </xf>
    <xf numFmtId="0" fontId="1" fillId="0" borderId="10" xfId="49" applyFont="1" applyBorder="1" applyAlignment="1">
      <alignment horizontal="center" vertical="center"/>
      <protection/>
    </xf>
    <xf numFmtId="0" fontId="16" fillId="0" borderId="19" xfId="49" applyFont="1" applyBorder="1" applyAlignment="1">
      <alignment horizontal="center" vertical="center"/>
      <protection/>
    </xf>
    <xf numFmtId="0" fontId="16" fillId="0" borderId="11" xfId="49" applyFont="1" applyBorder="1" applyAlignment="1">
      <alignment horizontal="center" vertical="center"/>
      <protection/>
    </xf>
    <xf numFmtId="0" fontId="16" fillId="0" borderId="10" xfId="49" applyFont="1" applyBorder="1" applyAlignment="1">
      <alignment horizontal="center" vertical="center"/>
      <protection/>
    </xf>
    <xf numFmtId="0" fontId="0" fillId="0" borderId="14" xfId="49" applyBorder="1" applyAlignment="1">
      <alignment horizontal="center" vertical="center" wrapText="1"/>
      <protection/>
    </xf>
    <xf numFmtId="0" fontId="11" fillId="0" borderId="19" xfId="49" applyFont="1" applyFill="1" applyBorder="1" applyAlignment="1">
      <alignment horizontal="center" vertical="center"/>
      <protection/>
    </xf>
    <xf numFmtId="0" fontId="11" fillId="0" borderId="11" xfId="49" applyFont="1" applyFill="1" applyBorder="1" applyAlignment="1">
      <alignment horizontal="center" vertical="center"/>
      <protection/>
    </xf>
    <xf numFmtId="0" fontId="11" fillId="0" borderId="10" xfId="49" applyFont="1" applyFill="1" applyBorder="1" applyAlignment="1">
      <alignment horizontal="center" vertical="center"/>
      <protection/>
    </xf>
    <xf numFmtId="0" fontId="2" fillId="0" borderId="20" xfId="49" applyFont="1" applyFill="1" applyBorder="1" applyAlignment="1">
      <alignment horizontal="center" vertical="center"/>
      <protection/>
    </xf>
    <xf numFmtId="0" fontId="2" fillId="0" borderId="18" xfId="49" applyFont="1" applyFill="1" applyBorder="1" applyAlignment="1">
      <alignment horizontal="center" vertical="center"/>
      <protection/>
    </xf>
    <xf numFmtId="0" fontId="2" fillId="0" borderId="21" xfId="49" applyFont="1" applyFill="1" applyBorder="1" applyAlignment="1">
      <alignment horizontal="center" vertical="center"/>
      <protection/>
    </xf>
    <xf numFmtId="0" fontId="2" fillId="0" borderId="22" xfId="49" applyFont="1" applyFill="1" applyBorder="1" applyAlignment="1">
      <alignment horizontal="center" vertical="center"/>
      <protection/>
    </xf>
    <xf numFmtId="0" fontId="2" fillId="0" borderId="14" xfId="49" applyFont="1" applyFill="1" applyBorder="1" applyAlignment="1">
      <alignment horizontal="center" vertical="center"/>
      <protection/>
    </xf>
    <xf numFmtId="0" fontId="2" fillId="0" borderId="23" xfId="49" applyFont="1" applyFill="1" applyBorder="1" applyAlignment="1">
      <alignment horizontal="center" vertical="center"/>
      <protection/>
    </xf>
    <xf numFmtId="0" fontId="15" fillId="0" borderId="20" xfId="49" applyFont="1" applyFill="1" applyBorder="1" applyAlignment="1">
      <alignment horizontal="center" vertical="center" wrapText="1"/>
      <protection/>
    </xf>
    <xf numFmtId="0" fontId="15" fillId="0" borderId="21" xfId="49" applyFont="1" applyFill="1" applyBorder="1" applyAlignment="1">
      <alignment horizontal="center" vertical="center" wrapText="1"/>
      <protection/>
    </xf>
    <xf numFmtId="0" fontId="15" fillId="0" borderId="16" xfId="49" applyFont="1" applyFill="1" applyBorder="1" applyAlignment="1">
      <alignment horizontal="center" vertical="center" wrapText="1"/>
      <protection/>
    </xf>
    <xf numFmtId="0" fontId="15" fillId="0" borderId="15" xfId="49" applyFont="1" applyFill="1" applyBorder="1" applyAlignment="1">
      <alignment horizontal="center" vertical="center" wrapText="1"/>
      <protection/>
    </xf>
    <xf numFmtId="0" fontId="15" fillId="0" borderId="22" xfId="49" applyFont="1" applyFill="1" applyBorder="1" applyAlignment="1">
      <alignment horizontal="center" vertical="center" wrapText="1"/>
      <protection/>
    </xf>
    <xf numFmtId="0" fontId="15" fillId="0" borderId="23" xfId="49" applyFont="1" applyFill="1" applyBorder="1" applyAlignment="1">
      <alignment horizontal="center" vertical="center" wrapText="1"/>
      <protection/>
    </xf>
    <xf numFmtId="0" fontId="2" fillId="0" borderId="28" xfId="49" applyFont="1" applyFill="1" applyBorder="1" applyAlignment="1">
      <alignment horizontal="center" vertical="center"/>
      <protection/>
    </xf>
    <xf numFmtId="0" fontId="2" fillId="0" borderId="13" xfId="49" applyFont="1" applyFill="1" applyBorder="1" applyAlignment="1">
      <alignment horizontal="center" vertical="center"/>
      <protection/>
    </xf>
    <xf numFmtId="0" fontId="2" fillId="0" borderId="28" xfId="49" applyFont="1" applyFill="1" applyBorder="1" applyAlignment="1">
      <alignment horizontal="center" vertical="center" wrapText="1"/>
      <protection/>
    </xf>
    <xf numFmtId="0" fontId="2" fillId="0" borderId="13" xfId="49" applyFont="1" applyFill="1" applyBorder="1" applyAlignment="1">
      <alignment horizontal="center" vertical="center" wrapText="1"/>
      <protection/>
    </xf>
    <xf numFmtId="0" fontId="2" fillId="0" borderId="20" xfId="49" applyFont="1" applyFill="1" applyBorder="1" applyAlignment="1">
      <alignment horizontal="center" vertical="center" wrapText="1"/>
      <protection/>
    </xf>
    <xf numFmtId="0" fontId="2" fillId="0" borderId="18" xfId="49" applyFont="1" applyFill="1" applyBorder="1" applyAlignment="1">
      <alignment horizontal="center" vertical="center" wrapText="1"/>
      <protection/>
    </xf>
    <xf numFmtId="0" fontId="2" fillId="0" borderId="21" xfId="49" applyFont="1" applyFill="1" applyBorder="1" applyAlignment="1">
      <alignment horizontal="center" vertical="center" wrapText="1"/>
      <protection/>
    </xf>
    <xf numFmtId="0" fontId="2" fillId="0" borderId="22" xfId="49" applyFont="1" applyFill="1" applyBorder="1" applyAlignment="1">
      <alignment horizontal="center" vertical="center" wrapText="1"/>
      <protection/>
    </xf>
    <xf numFmtId="0" fontId="2" fillId="0" borderId="14" xfId="49" applyFont="1" applyFill="1" applyBorder="1" applyAlignment="1">
      <alignment horizontal="center" vertical="center" wrapText="1"/>
      <protection/>
    </xf>
    <xf numFmtId="0" fontId="2" fillId="0" borderId="23" xfId="49" applyFont="1" applyFill="1" applyBorder="1" applyAlignment="1">
      <alignment horizontal="center" vertical="center" wrapText="1"/>
      <protection/>
    </xf>
    <xf numFmtId="0" fontId="1" fillId="0" borderId="19" xfId="49" applyFont="1" applyBorder="1" applyAlignment="1">
      <alignment horizontal="left" vertical="center"/>
      <protection/>
    </xf>
    <xf numFmtId="0" fontId="1" fillId="0" borderId="11" xfId="49" applyFont="1" applyBorder="1" applyAlignment="1">
      <alignment horizontal="left" vertical="center"/>
      <protection/>
    </xf>
    <xf numFmtId="0" fontId="1" fillId="0" borderId="10" xfId="49" applyFont="1" applyBorder="1" applyAlignment="1">
      <alignment horizontal="left" vertical="center"/>
      <protection/>
    </xf>
    <xf numFmtId="182" fontId="11" fillId="0" borderId="28" xfId="59" applyNumberFormat="1" applyFont="1" applyFill="1" applyBorder="1" applyAlignment="1" quotePrefix="1">
      <alignment horizontal="center" vertical="center" wrapText="1"/>
    </xf>
    <xf numFmtId="182" fontId="11" fillId="0" borderId="29" xfId="59" applyNumberFormat="1" applyFont="1" applyFill="1" applyBorder="1" applyAlignment="1" quotePrefix="1">
      <alignment horizontal="center" vertical="center" wrapText="1"/>
    </xf>
    <xf numFmtId="182" fontId="11" fillId="0" borderId="13" xfId="59" applyNumberFormat="1" applyFont="1" applyFill="1" applyBorder="1" applyAlignment="1" quotePrefix="1">
      <alignment horizontal="center" vertical="center" wrapText="1"/>
    </xf>
    <xf numFmtId="0" fontId="11" fillId="0" borderId="19" xfId="49" applyFont="1" applyFill="1" applyBorder="1" applyAlignment="1">
      <alignment horizontal="left"/>
      <protection/>
    </xf>
    <xf numFmtId="0" fontId="11" fillId="0" borderId="11" xfId="49" applyFont="1" applyFill="1" applyBorder="1" applyAlignment="1">
      <alignment horizontal="left"/>
      <protection/>
    </xf>
    <xf numFmtId="0" fontId="11" fillId="0" borderId="10" xfId="49" applyFont="1" applyFill="1" applyBorder="1" applyAlignment="1">
      <alignment horizontal="left"/>
      <protection/>
    </xf>
    <xf numFmtId="177" fontId="1" fillId="0" borderId="19" xfId="58" applyFont="1" applyBorder="1" applyAlignment="1">
      <alignment horizontal="center" vertical="center"/>
    </xf>
    <xf numFmtId="177" fontId="1" fillId="0" borderId="11" xfId="58" applyFont="1" applyBorder="1" applyAlignment="1">
      <alignment horizontal="center" vertical="center"/>
    </xf>
    <xf numFmtId="177" fontId="1" fillId="0" borderId="10" xfId="58" applyFont="1" applyBorder="1" applyAlignment="1">
      <alignment horizontal="center" vertical="center"/>
    </xf>
    <xf numFmtId="177" fontId="1" fillId="0" borderId="19" xfId="70" applyFont="1" applyBorder="1" applyAlignment="1">
      <alignment horizontal="center" vertical="center" wrapText="1"/>
    </xf>
    <xf numFmtId="177" fontId="1" fillId="0" borderId="11" xfId="70" applyFont="1" applyBorder="1" applyAlignment="1">
      <alignment horizontal="center" vertical="center" wrapText="1"/>
    </xf>
    <xf numFmtId="177" fontId="1" fillId="0" borderId="10" xfId="70" applyFont="1" applyBorder="1" applyAlignment="1">
      <alignment horizontal="center" vertical="center" wrapText="1"/>
    </xf>
    <xf numFmtId="177" fontId="1" fillId="0" borderId="19" xfId="70" applyFont="1" applyFill="1" applyBorder="1" applyAlignment="1">
      <alignment horizontal="center" vertical="center" wrapText="1"/>
    </xf>
    <xf numFmtId="177" fontId="1" fillId="0" borderId="11" xfId="70" applyFont="1" applyFill="1" applyBorder="1" applyAlignment="1">
      <alignment horizontal="center" vertical="center" wrapText="1"/>
    </xf>
    <xf numFmtId="177" fontId="1" fillId="0" borderId="10" xfId="70" applyFont="1" applyFill="1" applyBorder="1" applyAlignment="1">
      <alignment horizontal="center" vertical="center" wrapText="1"/>
    </xf>
    <xf numFmtId="177" fontId="1" fillId="0" borderId="19" xfId="58" applyFont="1" applyFill="1" applyBorder="1" applyAlignment="1">
      <alignment horizontal="center" vertical="center" wrapText="1"/>
    </xf>
    <xf numFmtId="177" fontId="1" fillId="0" borderId="11" xfId="58" applyFont="1" applyFill="1" applyBorder="1" applyAlignment="1">
      <alignment horizontal="center" vertical="center" wrapText="1"/>
    </xf>
    <xf numFmtId="177" fontId="1" fillId="0" borderId="10" xfId="58" applyFont="1" applyFill="1" applyBorder="1" applyAlignment="1">
      <alignment horizontal="center" vertical="center" wrapText="1"/>
    </xf>
    <xf numFmtId="177" fontId="5" fillId="0" borderId="19" xfId="70" applyFont="1" applyBorder="1" applyAlignment="1">
      <alignment horizontal="center" vertical="center" wrapText="1"/>
    </xf>
    <xf numFmtId="177" fontId="5" fillId="0" borderId="11" xfId="70" applyFont="1" applyBorder="1" applyAlignment="1">
      <alignment horizontal="center" vertical="center" wrapText="1"/>
    </xf>
    <xf numFmtId="177" fontId="5" fillId="0" borderId="10" xfId="7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Fill="1" applyBorder="1" applyAlignment="1">
      <alignment horizontal="lef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67" fillId="0" borderId="14" xfId="0" applyFont="1" applyBorder="1" applyAlignment="1">
      <alignment horizontal="left" vertical="center"/>
    </xf>
    <xf numFmtId="0" fontId="10" fillId="0" borderId="14" xfId="0" applyFont="1" applyBorder="1" applyAlignment="1">
      <alignment horizontal="left" vertical="center"/>
    </xf>
    <xf numFmtId="0" fontId="27" fillId="0" borderId="19" xfId="0" applyFont="1" applyBorder="1" applyAlignment="1">
      <alignment horizontal="right" vertical="center" wrapText="1"/>
    </xf>
    <xf numFmtId="0" fontId="27" fillId="0" borderId="11" xfId="0" applyFont="1" applyBorder="1" applyAlignment="1">
      <alignment horizontal="right" vertical="center" wrapText="1"/>
    </xf>
    <xf numFmtId="0" fontId="27" fillId="0" borderId="10" xfId="0" applyFont="1" applyBorder="1" applyAlignment="1">
      <alignment horizontal="right" vertical="center" wrapText="1"/>
    </xf>
    <xf numFmtId="0" fontId="8" fillId="0" borderId="19" xfId="0" applyFont="1" applyFill="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9" xfId="0" applyFont="1" applyBorder="1" applyAlignment="1">
      <alignment horizontal="center"/>
    </xf>
    <xf numFmtId="0" fontId="6" fillId="0" borderId="11" xfId="0" applyFont="1" applyBorder="1" applyAlignment="1">
      <alignment horizontal="center"/>
    </xf>
    <xf numFmtId="0" fontId="67" fillId="0" borderId="14" xfId="0" applyFont="1" applyBorder="1" applyAlignment="1">
      <alignment horizontal="center" vertical="center"/>
    </xf>
    <xf numFmtId="0" fontId="10" fillId="0" borderId="14" xfId="0" applyFont="1" applyBorder="1" applyAlignment="1">
      <alignment horizontal="center"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16" xfId="0" applyFont="1" applyFill="1" applyBorder="1" applyAlignment="1">
      <alignment horizontal="center" vertical="center"/>
    </xf>
    <xf numFmtId="0" fontId="7" fillId="33" borderId="14" xfId="49" applyFont="1" applyFill="1" applyBorder="1" applyAlignment="1">
      <alignment horizontal="center" wrapText="1"/>
      <protection/>
    </xf>
    <xf numFmtId="0" fontId="7" fillId="0" borderId="12" xfId="49" applyFont="1" applyBorder="1" applyAlignment="1">
      <alignment horizontal="center" vertical="center" wrapText="1"/>
      <protection/>
    </xf>
    <xf numFmtId="0" fontId="22" fillId="0" borderId="12" xfId="49" applyFont="1" applyBorder="1" applyAlignment="1">
      <alignment horizontal="center" vertical="center" wrapText="1"/>
      <protection/>
    </xf>
    <xf numFmtId="0" fontId="22" fillId="0" borderId="12" xfId="49" applyFont="1" applyBorder="1" applyAlignment="1">
      <alignment horizontal="left" vertical="center" wrapText="1"/>
      <protection/>
    </xf>
    <xf numFmtId="0" fontId="7" fillId="33" borderId="20" xfId="49" applyFont="1" applyFill="1" applyBorder="1" applyAlignment="1">
      <alignment horizontal="center" vertical="center" wrapText="1"/>
      <protection/>
    </xf>
    <xf numFmtId="0" fontId="7" fillId="33" borderId="18" xfId="49" applyFont="1" applyFill="1" applyBorder="1" applyAlignment="1">
      <alignment horizontal="center" vertical="center" wrapText="1"/>
      <protection/>
    </xf>
    <xf numFmtId="0" fontId="7" fillId="33" borderId="21" xfId="49" applyFont="1" applyFill="1" applyBorder="1" applyAlignment="1">
      <alignment horizontal="center" vertical="center" wrapText="1"/>
      <protection/>
    </xf>
    <xf numFmtId="0" fontId="7" fillId="33" borderId="22" xfId="49" applyFont="1" applyFill="1" applyBorder="1" applyAlignment="1">
      <alignment horizontal="center" vertical="center" wrapText="1"/>
      <protection/>
    </xf>
    <xf numFmtId="0" fontId="7" fillId="33" borderId="14" xfId="49" applyFont="1" applyFill="1" applyBorder="1" applyAlignment="1">
      <alignment horizontal="center" vertical="center" wrapText="1"/>
      <protection/>
    </xf>
    <xf numFmtId="0" fontId="7" fillId="33" borderId="23" xfId="49" applyFont="1" applyFill="1" applyBorder="1" applyAlignment="1">
      <alignment horizontal="center" vertical="center" wrapText="1"/>
      <protection/>
    </xf>
    <xf numFmtId="0" fontId="1" fillId="0" borderId="18" xfId="49" applyFont="1" applyBorder="1" applyAlignment="1">
      <alignment horizontal="center" vertical="center"/>
      <protection/>
    </xf>
    <xf numFmtId="0" fontId="1" fillId="0" borderId="0" xfId="49" applyFont="1" applyBorder="1" applyAlignment="1">
      <alignment horizontal="center" vertical="center"/>
      <protection/>
    </xf>
    <xf numFmtId="0" fontId="24" fillId="0" borderId="12" xfId="49" applyFont="1" applyBorder="1" applyAlignment="1">
      <alignment horizontal="left" vertical="center" wrapText="1"/>
      <protection/>
    </xf>
    <xf numFmtId="0" fontId="1" fillId="0" borderId="12" xfId="49" applyFont="1" applyBorder="1" applyAlignment="1">
      <alignment horizontal="center" vertical="center" wrapText="1"/>
      <protection/>
    </xf>
    <xf numFmtId="0" fontId="7" fillId="0" borderId="14" xfId="49" applyFont="1" applyBorder="1" applyAlignment="1">
      <alignment horizontal="left" vertical="center"/>
      <protection/>
    </xf>
    <xf numFmtId="0" fontId="2" fillId="33" borderId="12" xfId="49" applyFont="1" applyFill="1" applyBorder="1" applyAlignment="1">
      <alignment horizontal="center" vertical="center"/>
      <protection/>
    </xf>
    <xf numFmtId="0" fontId="12" fillId="33" borderId="19" xfId="49" applyFont="1" applyFill="1" applyBorder="1" applyAlignment="1">
      <alignment horizontal="left" vertical="center"/>
      <protection/>
    </xf>
    <xf numFmtId="0" fontId="12" fillId="33" borderId="11" xfId="49" applyFont="1" applyFill="1" applyBorder="1" applyAlignment="1">
      <alignment horizontal="left" vertical="center"/>
      <protection/>
    </xf>
    <xf numFmtId="0" fontId="12" fillId="33" borderId="10" xfId="49" applyFont="1" applyFill="1" applyBorder="1" applyAlignment="1">
      <alignment horizontal="left" vertical="center"/>
      <protection/>
    </xf>
    <xf numFmtId="0" fontId="12" fillId="33" borderId="22" xfId="49" applyFont="1" applyFill="1" applyBorder="1" applyAlignment="1">
      <alignment horizontal="left" vertical="center"/>
      <protection/>
    </xf>
    <xf numFmtId="0" fontId="12" fillId="33" borderId="14" xfId="49" applyFont="1" applyFill="1" applyBorder="1" applyAlignment="1">
      <alignment horizontal="left" vertical="center"/>
      <protection/>
    </xf>
    <xf numFmtId="183" fontId="0" fillId="33" borderId="14" xfId="49" applyNumberFormat="1" applyFont="1" applyFill="1" applyBorder="1" applyAlignment="1">
      <alignment horizontal="left" vertical="center"/>
      <protection/>
    </xf>
    <xf numFmtId="0" fontId="12" fillId="33" borderId="13" xfId="49" applyFont="1" applyFill="1" applyBorder="1" applyAlignment="1">
      <alignment horizontal="left" vertical="center"/>
      <protection/>
    </xf>
    <xf numFmtId="0" fontId="12" fillId="33" borderId="20" xfId="49" applyFont="1" applyFill="1" applyBorder="1" applyAlignment="1">
      <alignment horizontal="left" vertical="center" wrapText="1"/>
      <protection/>
    </xf>
    <xf numFmtId="0" fontId="12" fillId="33" borderId="18" xfId="49" applyFont="1" applyFill="1" applyBorder="1" applyAlignment="1">
      <alignment horizontal="left" vertical="center" wrapText="1"/>
      <protection/>
    </xf>
    <xf numFmtId="0" fontId="12" fillId="33" borderId="21" xfId="49" applyFont="1" applyFill="1" applyBorder="1" applyAlignment="1">
      <alignment horizontal="left" vertical="center" wrapText="1"/>
      <protection/>
    </xf>
    <xf numFmtId="0" fontId="12" fillId="33" borderId="20" xfId="49" applyFont="1" applyFill="1" applyBorder="1" applyAlignment="1">
      <alignment horizontal="left" vertical="center"/>
      <protection/>
    </xf>
    <xf numFmtId="0" fontId="12" fillId="33" borderId="18" xfId="49" applyFont="1" applyFill="1" applyBorder="1" applyAlignment="1">
      <alignment horizontal="left" vertical="center"/>
      <protection/>
    </xf>
    <xf numFmtId="0" fontId="12" fillId="33" borderId="21" xfId="49" applyFont="1" applyFill="1" applyBorder="1" applyAlignment="1">
      <alignment horizontal="left" vertical="center"/>
      <protection/>
    </xf>
    <xf numFmtId="0" fontId="6" fillId="0" borderId="14" xfId="50" applyFont="1" applyBorder="1" applyAlignment="1">
      <alignment horizontal="center" wrapText="1"/>
      <protection/>
    </xf>
    <xf numFmtId="0" fontId="2" fillId="33" borderId="19" xfId="51" applyFont="1" applyFill="1" applyBorder="1" applyAlignment="1">
      <alignment horizontal="center" vertical="center" wrapText="1"/>
      <protection/>
    </xf>
    <xf numFmtId="0" fontId="2" fillId="33" borderId="11" xfId="51" applyFont="1" applyFill="1" applyBorder="1" applyAlignment="1">
      <alignment horizontal="center" vertical="center" wrapText="1"/>
      <protection/>
    </xf>
    <xf numFmtId="0" fontId="2" fillId="33" borderId="10" xfId="51" applyFont="1" applyFill="1" applyBorder="1" applyAlignment="1">
      <alignment horizontal="center" vertical="center" wrapText="1"/>
      <protection/>
    </xf>
    <xf numFmtId="0" fontId="2" fillId="33" borderId="19" xfId="51" applyFont="1" applyFill="1" applyBorder="1" applyAlignment="1">
      <alignment horizontal="left" vertical="center"/>
      <protection/>
    </xf>
    <xf numFmtId="0" fontId="2" fillId="33" borderId="11" xfId="51" applyFont="1" applyFill="1" applyBorder="1" applyAlignment="1">
      <alignment horizontal="left" vertical="center"/>
      <protection/>
    </xf>
    <xf numFmtId="0" fontId="2" fillId="33" borderId="10" xfId="51" applyFont="1" applyFill="1" applyBorder="1" applyAlignment="1">
      <alignment horizontal="left" vertical="center"/>
      <protection/>
    </xf>
    <xf numFmtId="0" fontId="2" fillId="33" borderId="19" xfId="51" applyFont="1" applyFill="1" applyBorder="1" applyAlignment="1">
      <alignment horizontal="left" vertical="center" wrapText="1"/>
      <protection/>
    </xf>
    <xf numFmtId="0" fontId="2" fillId="33" borderId="11" xfId="51" applyFont="1" applyFill="1" applyBorder="1" applyAlignment="1">
      <alignment horizontal="left" vertical="center" wrapText="1"/>
      <protection/>
    </xf>
    <xf numFmtId="0" fontId="2" fillId="33" borderId="10" xfId="51" applyFont="1" applyFill="1" applyBorder="1" applyAlignment="1">
      <alignment horizontal="left" vertical="center" wrapText="1"/>
      <protection/>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4" fontId="0" fillId="0" borderId="18" xfId="50" applyNumberFormat="1" applyFont="1" applyBorder="1" applyAlignment="1">
      <alignment horizontal="center" vertical="center" wrapText="1"/>
      <protection/>
    </xf>
    <xf numFmtId="4" fontId="0" fillId="0" borderId="0" xfId="50" applyNumberFormat="1" applyFont="1" applyAlignment="1">
      <alignment horizontal="center" vertical="center" wrapText="1"/>
      <protection/>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MediçãoMataBurro" xfId="50"/>
    <cellStyle name="Normal_ORÇAMENTO PREFEITURA" xfId="51"/>
    <cellStyle name="Nota" xfId="52"/>
    <cellStyle name="Percent" xfId="53"/>
    <cellStyle name="Ruim" xfId="54"/>
    <cellStyle name="Saída" xfId="55"/>
    <cellStyle name="Comma [0]" xfId="56"/>
    <cellStyle name="Separador de milhares 2" xfId="57"/>
    <cellStyle name="Separador de milhares 2 2" xfId="58"/>
    <cellStyle name="Separador de milhares 3" xfId="59"/>
    <cellStyle name="Separador de milhares 4"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 name="Vírgula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xdr:col>
      <xdr:colOff>371475</xdr:colOff>
      <xdr:row>0</xdr:row>
      <xdr:rowOff>381000</xdr:rowOff>
    </xdr:to>
    <xdr:pic>
      <xdr:nvPicPr>
        <xdr:cNvPr id="1" name="Imagem 2" descr="LOGO  ADMINIST NORMAL "/>
        <xdr:cNvPicPr preferRelativeResize="1">
          <a:picLocks noChangeAspect="1"/>
        </xdr:cNvPicPr>
      </xdr:nvPicPr>
      <xdr:blipFill>
        <a:blip r:embed="rId1"/>
        <a:stretch>
          <a:fillRect/>
        </a:stretch>
      </xdr:blipFill>
      <xdr:spPr>
        <a:xfrm>
          <a:off x="152400" y="28575"/>
          <a:ext cx="723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0</xdr:row>
      <xdr:rowOff>76200</xdr:rowOff>
    </xdr:from>
    <xdr:to>
      <xdr:col>6</xdr:col>
      <xdr:colOff>285750</xdr:colOff>
      <xdr:row>0</xdr:row>
      <xdr:rowOff>476250</xdr:rowOff>
    </xdr:to>
    <xdr:sp>
      <xdr:nvSpPr>
        <xdr:cNvPr id="1" name="Text Box 6"/>
        <xdr:cNvSpPr txBox="1">
          <a:spLocks noChangeArrowheads="1"/>
        </xdr:cNvSpPr>
      </xdr:nvSpPr>
      <xdr:spPr>
        <a:xfrm>
          <a:off x="1924050" y="76200"/>
          <a:ext cx="7334250" cy="400050"/>
        </a:xfrm>
        <a:prstGeom prst="rect">
          <a:avLst/>
        </a:prstGeom>
        <a:noFill/>
        <a:ln w="9525" cmpd="sng">
          <a:noFill/>
        </a:ln>
      </xdr:spPr>
      <xdr:txBody>
        <a:bodyPr vertOverflow="clip" wrap="square" lIns="27432" tIns="22860" rIns="0" bIns="0" anchor="ctr"/>
        <a:p>
          <a:pPr algn="ctr">
            <a:defRPr/>
          </a:pPr>
          <a:r>
            <a:rPr lang="en-US" cap="none" sz="1100" b="1" i="0" u="none" baseline="0">
              <a:solidFill>
                <a:srgbClr val="000000"/>
              </a:solidFill>
              <a:latin typeface="Calibri"/>
              <a:ea typeface="Calibri"/>
              <a:cs typeface="Calibri"/>
            </a:rPr>
            <a:t>PREFEITURA MUNICIPAL DE SANTA CRUZ DO ESCALVADO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ESTADO DE MINAS GERAIS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Adm. 2021-2024</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142875</xdr:colOff>
      <xdr:row>0</xdr:row>
      <xdr:rowOff>104775</xdr:rowOff>
    </xdr:from>
    <xdr:to>
      <xdr:col>2</xdr:col>
      <xdr:colOff>381000</xdr:colOff>
      <xdr:row>0</xdr:row>
      <xdr:rowOff>762000</xdr:rowOff>
    </xdr:to>
    <xdr:pic>
      <xdr:nvPicPr>
        <xdr:cNvPr id="2" name="Imagem 2"/>
        <xdr:cNvPicPr preferRelativeResize="1">
          <a:picLocks noChangeAspect="1"/>
        </xdr:cNvPicPr>
      </xdr:nvPicPr>
      <xdr:blipFill>
        <a:blip r:embed="rId1"/>
        <a:stretch>
          <a:fillRect/>
        </a:stretch>
      </xdr:blipFill>
      <xdr:spPr>
        <a:xfrm>
          <a:off x="142875" y="104775"/>
          <a:ext cx="15240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0</xdr:row>
      <xdr:rowOff>66675</xdr:rowOff>
    </xdr:from>
    <xdr:to>
      <xdr:col>9</xdr:col>
      <xdr:colOff>85725</xdr:colOff>
      <xdr:row>1</xdr:row>
      <xdr:rowOff>0</xdr:rowOff>
    </xdr:to>
    <xdr:sp>
      <xdr:nvSpPr>
        <xdr:cNvPr id="1" name="Text Box 6"/>
        <xdr:cNvSpPr txBox="1">
          <a:spLocks noChangeArrowheads="1"/>
        </xdr:cNvSpPr>
      </xdr:nvSpPr>
      <xdr:spPr>
        <a:xfrm>
          <a:off x="1866900" y="66675"/>
          <a:ext cx="6543675" cy="638175"/>
        </a:xfrm>
        <a:prstGeom prst="rect">
          <a:avLst/>
        </a:prstGeom>
        <a:noFill/>
        <a:ln w="9525" cmpd="sng">
          <a:noFill/>
        </a:ln>
      </xdr:spPr>
      <xdr:txBody>
        <a:bodyPr vertOverflow="clip" wrap="square" lIns="27432" tIns="22860" rIns="0" bIns="0" anchor="ctr"/>
        <a:p>
          <a:pPr algn="l">
            <a:defRPr/>
          </a:pPr>
          <a:r>
            <a:rPr lang="en-US" cap="none" sz="1100" b="1" i="0" u="none" baseline="0">
              <a:solidFill>
                <a:srgbClr val="000000"/>
              </a:solidFill>
              <a:latin typeface="Calibri"/>
              <a:ea typeface="Calibri"/>
              <a:cs typeface="Calibri"/>
            </a:rPr>
            <a:t>PREFEITURA MUNICIPAL DE SANTA CRUZ DO ESCALVADO</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ESTADO DE MINAS GERAIS</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Adm. 2021-2024</a:t>
          </a:r>
          <a:r>
            <a:rPr lang="en-US" cap="none" sz="900" b="0" i="0" u="none" baseline="0">
              <a:solidFill>
                <a:srgbClr val="000000"/>
              </a:solidFill>
              <a:latin typeface="Calibri"/>
              <a:ea typeface="Calibri"/>
              <a:cs typeface="Calibri"/>
            </a:rPr>
            <a:t>
</a:t>
          </a:r>
        </a:p>
      </xdr:txBody>
    </xdr:sp>
    <xdr:clientData/>
  </xdr:twoCellAnchor>
  <xdr:twoCellAnchor>
    <xdr:from>
      <xdr:col>0</xdr:col>
      <xdr:colOff>19050</xdr:colOff>
      <xdr:row>33</xdr:row>
      <xdr:rowOff>19050</xdr:rowOff>
    </xdr:from>
    <xdr:to>
      <xdr:col>10</xdr:col>
      <xdr:colOff>409575</xdr:colOff>
      <xdr:row>33</xdr:row>
      <xdr:rowOff>19050</xdr:rowOff>
    </xdr:to>
    <xdr:sp>
      <xdr:nvSpPr>
        <xdr:cNvPr id="2" name="Text Box 7"/>
        <xdr:cNvSpPr txBox="1">
          <a:spLocks noChangeArrowheads="1"/>
        </xdr:cNvSpPr>
      </xdr:nvSpPr>
      <xdr:spPr>
        <a:xfrm>
          <a:off x="19050" y="6924675"/>
          <a:ext cx="9429750" cy="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Secretaria de Estado de Transportes e Obras Públicas  - SETOP - MG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Internet: www.transportes.mg.gov.br / E-mail: dco@transportes.mg.gov.br
</a:t>
          </a:r>
          <a:r>
            <a:rPr lang="en-US" cap="none" sz="900" b="0" i="0" u="none" baseline="0">
              <a:solidFill>
                <a:srgbClr val="000000"/>
              </a:solidFill>
              <a:latin typeface="Arial"/>
              <a:ea typeface="Arial"/>
              <a:cs typeface="Arial"/>
            </a:rPr>
            <a:t>Fone Geral: (31) 3239-0999 - Fax: (31) 3239-0899
</a:t>
          </a:r>
          <a:r>
            <a:rPr lang="en-US" cap="none" sz="900" b="0" i="0" u="none" baseline="0">
              <a:solidFill>
                <a:srgbClr val="000000"/>
              </a:solidFill>
              <a:latin typeface="Arial"/>
              <a:ea typeface="Arial"/>
              <a:cs typeface="Arial"/>
            </a:rPr>
            <a:t>Sede: Rua Manaus, nº 467 - Bairro Santa Efigênia - CEP 30150-350 - Belo Horizonte - MG</a:t>
          </a:r>
        </a:p>
      </xdr:txBody>
    </xdr:sp>
    <xdr:clientData/>
  </xdr:twoCellAnchor>
  <xdr:twoCellAnchor editAs="oneCell">
    <xdr:from>
      <xdr:col>0</xdr:col>
      <xdr:colOff>152400</xdr:colOff>
      <xdr:row>0</xdr:row>
      <xdr:rowOff>47625</xdr:rowOff>
    </xdr:from>
    <xdr:to>
      <xdr:col>2</xdr:col>
      <xdr:colOff>142875</xdr:colOff>
      <xdr:row>0</xdr:row>
      <xdr:rowOff>400050</xdr:rowOff>
    </xdr:to>
    <xdr:pic>
      <xdr:nvPicPr>
        <xdr:cNvPr id="3" name="Imagem 2"/>
        <xdr:cNvPicPr preferRelativeResize="1">
          <a:picLocks noChangeAspect="1"/>
        </xdr:cNvPicPr>
      </xdr:nvPicPr>
      <xdr:blipFill>
        <a:blip r:embed="rId1"/>
        <a:stretch>
          <a:fillRect/>
        </a:stretch>
      </xdr:blipFill>
      <xdr:spPr>
        <a:xfrm>
          <a:off x="152400" y="47625"/>
          <a:ext cx="1381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47625</xdr:colOff>
      <xdr:row>0</xdr:row>
      <xdr:rowOff>0</xdr:rowOff>
    </xdr:to>
    <xdr:grpSp>
      <xdr:nvGrpSpPr>
        <xdr:cNvPr id="1" name="Group 1"/>
        <xdr:cNvGrpSpPr>
          <a:grpSpLocks noChangeAspect="1"/>
        </xdr:cNvGrpSpPr>
      </xdr:nvGrpSpPr>
      <xdr:grpSpPr>
        <a:xfrm>
          <a:off x="19050" y="0"/>
          <a:ext cx="457200" cy="0"/>
          <a:chOff x="1728" y="1296"/>
          <a:chExt cx="720" cy="720"/>
        </a:xfrm>
        <a:solidFill>
          <a:srgbClr val="FFFFFF"/>
        </a:solidFill>
      </xdr:grpSpPr>
      <xdr:sp>
        <xdr:nvSpPr>
          <xdr:cNvPr id="2" name="Line 2"/>
          <xdr:cNvSpPr>
            <a:spLocks noChangeAspect="1"/>
          </xdr:cNvSpPr>
        </xdr:nvSpPr>
        <xdr:spPr>
          <a:xfrm flipV="1">
            <a:off x="1728" y="1440"/>
            <a:ext cx="0" cy="4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noChangeAspect="1"/>
          </xdr:cNvSpPr>
        </xdr:nvSpPr>
        <xdr:spPr>
          <a:xfrm flipV="1">
            <a:off x="1728" y="1296"/>
            <a:ext cx="144" cy="1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noChangeAspect="1"/>
          </xdr:cNvSpPr>
        </xdr:nvSpPr>
        <xdr:spPr>
          <a:xfrm>
            <a:off x="1728" y="1872"/>
            <a:ext cx="144" cy="1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noChangeAspect="1"/>
          </xdr:cNvSpPr>
        </xdr:nvSpPr>
        <xdr:spPr>
          <a:xfrm>
            <a:off x="1872" y="1296"/>
            <a:ext cx="5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noChangeAspect="1"/>
          </xdr:cNvSpPr>
        </xdr:nvSpPr>
        <xdr:spPr>
          <a:xfrm>
            <a:off x="1872" y="2016"/>
            <a:ext cx="5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xdr:col>
      <xdr:colOff>0</xdr:colOff>
      <xdr:row>38</xdr:row>
      <xdr:rowOff>0</xdr:rowOff>
    </xdr:from>
    <xdr:ext cx="19050" cy="9610725"/>
    <xdr:sp fLocksText="0">
      <xdr:nvSpPr>
        <xdr:cNvPr id="7" name="Text Box 7"/>
        <xdr:cNvSpPr txBox="1">
          <a:spLocks noChangeArrowheads="1"/>
        </xdr:cNvSpPr>
      </xdr:nvSpPr>
      <xdr:spPr>
        <a:xfrm>
          <a:off x="2876550" y="6496050"/>
          <a:ext cx="19050" cy="9610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xdr:col>
      <xdr:colOff>57150</xdr:colOff>
      <xdr:row>0</xdr:row>
      <xdr:rowOff>0</xdr:rowOff>
    </xdr:to>
    <xdr:pic>
      <xdr:nvPicPr>
        <xdr:cNvPr id="8" name="Picture 8" descr="brasao"/>
        <xdr:cNvPicPr preferRelativeResize="1">
          <a:picLocks noChangeAspect="1"/>
        </xdr:cNvPicPr>
      </xdr:nvPicPr>
      <xdr:blipFill>
        <a:blip r:embed="rId1"/>
        <a:stretch>
          <a:fillRect/>
        </a:stretch>
      </xdr:blipFill>
      <xdr:spPr>
        <a:xfrm>
          <a:off x="28575" y="0"/>
          <a:ext cx="457200" cy="0"/>
        </a:xfrm>
        <a:prstGeom prst="rect">
          <a:avLst/>
        </a:prstGeom>
        <a:noFill/>
        <a:ln w="9525" cmpd="sng">
          <a:noFill/>
        </a:ln>
      </xdr:spPr>
    </xdr:pic>
    <xdr:clientData/>
  </xdr:twoCellAnchor>
  <xdr:twoCellAnchor>
    <xdr:from>
      <xdr:col>1</xdr:col>
      <xdr:colOff>95250</xdr:colOff>
      <xdr:row>0</xdr:row>
      <xdr:rowOff>19050</xdr:rowOff>
    </xdr:from>
    <xdr:to>
      <xdr:col>8</xdr:col>
      <xdr:colOff>285750</xdr:colOff>
      <xdr:row>1</xdr:row>
      <xdr:rowOff>0</xdr:rowOff>
    </xdr:to>
    <xdr:sp>
      <xdr:nvSpPr>
        <xdr:cNvPr id="9" name="Text Box 6"/>
        <xdr:cNvSpPr txBox="1">
          <a:spLocks noChangeArrowheads="1"/>
        </xdr:cNvSpPr>
      </xdr:nvSpPr>
      <xdr:spPr>
        <a:xfrm>
          <a:off x="523875" y="19050"/>
          <a:ext cx="7086600" cy="752475"/>
        </a:xfrm>
        <a:prstGeom prst="rect">
          <a:avLst/>
        </a:prstGeom>
        <a:noFill/>
        <a:ln w="9525" cmpd="sng">
          <a:noFill/>
        </a:ln>
      </xdr:spPr>
      <xdr:txBody>
        <a:bodyPr vertOverflow="clip" wrap="square" lIns="27432" tIns="22860" rIns="0" bIns="0"/>
        <a:p>
          <a:pPr algn="ctr">
            <a:defRPr/>
          </a:pPr>
          <a:r>
            <a:rPr lang="en-US" cap="none" sz="1700" b="1" i="0" u="none" baseline="0">
              <a:solidFill>
                <a:srgbClr val="000000"/>
              </a:solidFill>
              <a:latin typeface="Calibri"/>
              <a:ea typeface="Calibri"/>
              <a:cs typeface="Calibri"/>
            </a:rPr>
            <a:t>PREFEITURA MUNICIPAL DE SANTA CRUZ DO ESCALVADO</a:t>
          </a:r>
          <a:r>
            <a:rPr lang="en-US" cap="none" sz="17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ESTADO DE MINAS GERAIS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Adm. 2021-2024</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85725</xdr:colOff>
      <xdr:row>0</xdr:row>
      <xdr:rowOff>85725</xdr:rowOff>
    </xdr:from>
    <xdr:to>
      <xdr:col>1</xdr:col>
      <xdr:colOff>695325</xdr:colOff>
      <xdr:row>0</xdr:row>
      <xdr:rowOff>447675</xdr:rowOff>
    </xdr:to>
    <xdr:pic>
      <xdr:nvPicPr>
        <xdr:cNvPr id="10" name="Imagem 2"/>
        <xdr:cNvPicPr preferRelativeResize="1">
          <a:picLocks noChangeAspect="1"/>
        </xdr:cNvPicPr>
      </xdr:nvPicPr>
      <xdr:blipFill>
        <a:blip r:embed="rId2"/>
        <a:stretch>
          <a:fillRect/>
        </a:stretch>
      </xdr:blipFill>
      <xdr:spPr>
        <a:xfrm>
          <a:off x="85725" y="85725"/>
          <a:ext cx="1038225" cy="361950"/>
        </a:xfrm>
        <a:prstGeom prst="rect">
          <a:avLst/>
        </a:prstGeom>
        <a:noFill/>
        <a:ln w="9525" cmpd="sng">
          <a:noFill/>
        </a:ln>
      </xdr:spPr>
    </xdr:pic>
    <xdr:clientData/>
  </xdr:twoCellAnchor>
  <xdr:twoCellAnchor editAs="oneCell">
    <xdr:from>
      <xdr:col>0</xdr:col>
      <xdr:colOff>276225</xdr:colOff>
      <xdr:row>6</xdr:row>
      <xdr:rowOff>9525</xdr:rowOff>
    </xdr:from>
    <xdr:to>
      <xdr:col>4</xdr:col>
      <xdr:colOff>190500</xdr:colOff>
      <xdr:row>24</xdr:row>
      <xdr:rowOff>19050</xdr:rowOff>
    </xdr:to>
    <xdr:pic>
      <xdr:nvPicPr>
        <xdr:cNvPr id="11" name="Imagem 2"/>
        <xdr:cNvPicPr preferRelativeResize="1">
          <a:picLocks noChangeAspect="1"/>
        </xdr:cNvPicPr>
      </xdr:nvPicPr>
      <xdr:blipFill>
        <a:blip r:embed="rId3"/>
        <a:stretch>
          <a:fillRect/>
        </a:stretch>
      </xdr:blipFill>
      <xdr:spPr>
        <a:xfrm>
          <a:off x="276225" y="1628775"/>
          <a:ext cx="3743325" cy="2752725"/>
        </a:xfrm>
        <a:prstGeom prst="rect">
          <a:avLst/>
        </a:prstGeom>
        <a:noFill/>
        <a:ln w="9525" cmpd="sng">
          <a:noFill/>
        </a:ln>
      </xdr:spPr>
    </xdr:pic>
    <xdr:clientData/>
  </xdr:twoCellAnchor>
  <xdr:twoCellAnchor editAs="oneCell">
    <xdr:from>
      <xdr:col>4</xdr:col>
      <xdr:colOff>514350</xdr:colOff>
      <xdr:row>6</xdr:row>
      <xdr:rowOff>9525</xdr:rowOff>
    </xdr:from>
    <xdr:to>
      <xdr:col>8</xdr:col>
      <xdr:colOff>762000</xdr:colOff>
      <xdr:row>24</xdr:row>
      <xdr:rowOff>19050</xdr:rowOff>
    </xdr:to>
    <xdr:pic>
      <xdr:nvPicPr>
        <xdr:cNvPr id="12" name="Imagem 4"/>
        <xdr:cNvPicPr preferRelativeResize="1">
          <a:picLocks noChangeAspect="1"/>
        </xdr:cNvPicPr>
      </xdr:nvPicPr>
      <xdr:blipFill>
        <a:blip r:embed="rId4"/>
        <a:stretch>
          <a:fillRect/>
        </a:stretch>
      </xdr:blipFill>
      <xdr:spPr>
        <a:xfrm>
          <a:off x="4343400" y="1628775"/>
          <a:ext cx="3743325" cy="2752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u%20Drive\3a.%20GEST&#195;O%20280821\4%20OBRAS\5%20RECURSO%20PR&#211;PRIO%20120523\53%20CAL&#199;AMENTO%20Comunidade%20Cana%20do%20Reino%20240423\CAL&#199;%20Comunidade%20Cana%20do%20Reino_MEDI&#199;&#213;ES%202404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 01"/>
      <sheetName val="BM 01 FOTOS"/>
      <sheetName val="BM 02"/>
      <sheetName val="BM 02 FO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2"/>
  <sheetViews>
    <sheetView view="pageBreakPreview" zoomScale="110" zoomScaleSheetLayoutView="110" zoomScalePageLayoutView="0" workbookViewId="0" topLeftCell="A1">
      <selection activeCell="O37" sqref="O37"/>
    </sheetView>
  </sheetViews>
  <sheetFormatPr defaultColWidth="11.421875" defaultRowHeight="12.75"/>
  <cols>
    <col min="1" max="1" width="7.57421875" style="10" customWidth="1"/>
    <col min="2" max="3" width="15.7109375" style="10" customWidth="1"/>
    <col min="4" max="4" width="21.00390625" style="10" customWidth="1"/>
    <col min="5" max="5" width="4.140625" style="28" customWidth="1"/>
    <col min="6" max="6" width="5.7109375" style="28" customWidth="1"/>
    <col min="7" max="7" width="8.140625" style="28" bestFit="1" customWidth="1"/>
    <col min="8" max="8" width="5.7109375" style="28" customWidth="1"/>
    <col min="9" max="9" width="7.28125" style="28" bestFit="1" customWidth="1"/>
    <col min="10" max="10" width="5.7109375" style="28" customWidth="1"/>
    <col min="11" max="11" width="9.28125" style="30" bestFit="1" customWidth="1"/>
    <col min="12" max="12" width="9.28125" style="30" customWidth="1"/>
    <col min="13" max="13" width="12.421875" style="30" customWidth="1"/>
    <col min="14" max="14" width="4.7109375" style="30" customWidth="1"/>
    <col min="15" max="15" width="10.00390625" style="32" customWidth="1"/>
    <col min="16" max="16" width="2.57421875" style="10" customWidth="1"/>
    <col min="17" max="17" width="11.7109375" style="10" bestFit="1" customWidth="1"/>
    <col min="18" max="18" width="6.7109375" style="10" customWidth="1"/>
    <col min="19" max="19" width="7.421875" style="10" customWidth="1"/>
    <col min="20" max="16384" width="11.421875" style="10" customWidth="1"/>
  </cols>
  <sheetData>
    <row r="1" spans="3:16" ht="60.75" customHeight="1">
      <c r="C1" s="213" t="s">
        <v>47</v>
      </c>
      <c r="D1" s="213"/>
      <c r="E1" s="213"/>
      <c r="F1" s="213"/>
      <c r="G1" s="213"/>
      <c r="H1" s="213"/>
      <c r="I1" s="213"/>
      <c r="J1" s="213"/>
      <c r="K1" s="213"/>
      <c r="L1" s="45"/>
      <c r="M1" s="45"/>
      <c r="N1" s="45"/>
      <c r="O1" s="45"/>
      <c r="P1" s="11"/>
    </row>
    <row r="2" spans="1:16" ht="11.25" customHeight="1">
      <c r="A2" s="223" t="s">
        <v>26</v>
      </c>
      <c r="B2" s="224"/>
      <c r="C2" s="214" t="s">
        <v>27</v>
      </c>
      <c r="D2" s="215"/>
      <c r="E2" s="215"/>
      <c r="F2" s="215"/>
      <c r="G2" s="215"/>
      <c r="H2" s="215"/>
      <c r="I2" s="215"/>
      <c r="J2" s="215"/>
      <c r="K2" s="215"/>
      <c r="L2" s="215"/>
      <c r="M2" s="215"/>
      <c r="N2" s="216"/>
      <c r="O2" s="242" t="str">
        <f>PLANILHA!G4</f>
        <v>DATA: 04/03/24</v>
      </c>
      <c r="P2" s="11"/>
    </row>
    <row r="3" spans="1:16" ht="11.25" customHeight="1">
      <c r="A3" s="225"/>
      <c r="B3" s="226"/>
      <c r="C3" s="245" t="str">
        <f>PLANILHA!A4</f>
        <v>OBRA: Execução de ponte mista em estrutura de concreto armado e vigas metálicos</v>
      </c>
      <c r="D3" s="246"/>
      <c r="E3" s="246"/>
      <c r="F3" s="246"/>
      <c r="G3" s="246"/>
      <c r="H3" s="246"/>
      <c r="I3" s="246"/>
      <c r="J3" s="246"/>
      <c r="K3" s="246"/>
      <c r="L3" s="246"/>
      <c r="M3" s="246"/>
      <c r="N3" s="247"/>
      <c r="O3" s="243"/>
      <c r="P3" s="11"/>
    </row>
    <row r="4" spans="1:16" ht="11.25" customHeight="1">
      <c r="A4" s="227"/>
      <c r="B4" s="228"/>
      <c r="C4" s="245" t="str">
        <f>PLANILHA!A5</f>
        <v>LOCAL: Córrego Charnecão, Rua Aniceto de Barros, Bairro Centro, Município de Santa Cruz do Escalvado.</v>
      </c>
      <c r="D4" s="246"/>
      <c r="E4" s="246"/>
      <c r="F4" s="246"/>
      <c r="G4" s="246"/>
      <c r="H4" s="246"/>
      <c r="I4" s="246"/>
      <c r="J4" s="246"/>
      <c r="K4" s="246"/>
      <c r="L4" s="246"/>
      <c r="M4" s="246"/>
      <c r="N4" s="247"/>
      <c r="O4" s="244"/>
      <c r="P4" s="11"/>
    </row>
    <row r="5" spans="1:16" ht="11.25" customHeight="1">
      <c r="A5" s="229" t="s">
        <v>0</v>
      </c>
      <c r="B5" s="217" t="s">
        <v>49</v>
      </c>
      <c r="C5" s="218"/>
      <c r="D5" s="219"/>
      <c r="E5" s="233" t="s">
        <v>48</v>
      </c>
      <c r="F5" s="234"/>
      <c r="G5" s="234"/>
      <c r="H5" s="234"/>
      <c r="I5" s="234"/>
      <c r="J5" s="234"/>
      <c r="K5" s="234"/>
      <c r="L5" s="234"/>
      <c r="M5" s="235"/>
      <c r="N5" s="231" t="s">
        <v>28</v>
      </c>
      <c r="O5" s="231" t="s">
        <v>29</v>
      </c>
      <c r="P5" s="12"/>
    </row>
    <row r="6" spans="1:16" ht="11.25" customHeight="1">
      <c r="A6" s="230"/>
      <c r="B6" s="220"/>
      <c r="C6" s="221"/>
      <c r="D6" s="222"/>
      <c r="E6" s="236"/>
      <c r="F6" s="237"/>
      <c r="G6" s="237"/>
      <c r="H6" s="237"/>
      <c r="I6" s="237"/>
      <c r="J6" s="237"/>
      <c r="K6" s="237"/>
      <c r="L6" s="237"/>
      <c r="M6" s="238"/>
      <c r="N6" s="232"/>
      <c r="O6" s="232"/>
      <c r="P6" s="13"/>
    </row>
    <row r="7" spans="1:16" ht="12" customHeight="1">
      <c r="A7" s="46">
        <f>PLANILHA!A9</f>
        <v>1</v>
      </c>
      <c r="B7" s="239" t="str">
        <f>PLANILHA!C9</f>
        <v>SERVIÇOS PRELIMINARES</v>
      </c>
      <c r="C7" s="240"/>
      <c r="D7" s="241"/>
      <c r="E7" s="198"/>
      <c r="F7" s="199"/>
      <c r="G7" s="199"/>
      <c r="H7" s="199"/>
      <c r="I7" s="199"/>
      <c r="J7" s="200"/>
      <c r="K7" s="210"/>
      <c r="L7" s="211"/>
      <c r="M7" s="212"/>
      <c r="N7" s="47"/>
      <c r="O7" s="48"/>
      <c r="P7" s="13"/>
    </row>
    <row r="8" spans="1:16" ht="20.25" customHeight="1">
      <c r="A8" s="46" t="str">
        <f>PLANILHA!A10</f>
        <v>1.1</v>
      </c>
      <c r="B8" s="204" t="str">
        <f>PLANILHA!C10</f>
        <v>MOBILIZAÇÃO E DESMOBILIZAÇÃO DE OBRAS ATÉ O VALOR DE 1.000.000,00</v>
      </c>
      <c r="C8" s="205"/>
      <c r="D8" s="206"/>
      <c r="E8" s="198"/>
      <c r="F8" s="199"/>
      <c r="G8" s="199"/>
      <c r="H8" s="199"/>
      <c r="I8" s="199"/>
      <c r="J8" s="200"/>
      <c r="K8" s="207" t="s">
        <v>55</v>
      </c>
      <c r="L8" s="208"/>
      <c r="M8" s="209"/>
      <c r="N8" s="55" t="str">
        <f>PLANILHA!D10</f>
        <v>%</v>
      </c>
      <c r="O8" s="48">
        <v>2</v>
      </c>
      <c r="P8" s="13"/>
    </row>
    <row r="9" spans="1:16" ht="51" customHeight="1">
      <c r="A9" s="46" t="str">
        <f>PLANILHA!A11</f>
        <v>1.2</v>
      </c>
      <c r="B9" s="204" t="str">
        <f>PLANILHA!C11</f>
        <v>FORNECIMENTO E COLOCAÇÃO DE PLACA DE OBRA EM CHAPA GALVANIZADA #26, ESP. 0,45 MM, PLOTADA COM ADESIVO VINÍLICO, AFIXADA COM REBITES 4,8X40 MM, EM ESTRUTURA METÁLICA DE METALON 20X20 MM, ESP. 1,25 MM, INCLUSIVE SUPORTE EM EUCALIPTO AUTOCLAVADO PINTADO COM TINTA PVA DUAS (2) DEMÃOS</v>
      </c>
      <c r="C9" s="205"/>
      <c r="D9" s="206"/>
      <c r="E9" s="198" t="s">
        <v>101</v>
      </c>
      <c r="F9" s="199"/>
      <c r="G9" s="199"/>
      <c r="H9" s="199"/>
      <c r="I9" s="199"/>
      <c r="J9" s="200"/>
      <c r="K9" s="207" t="s">
        <v>126</v>
      </c>
      <c r="L9" s="208"/>
      <c r="M9" s="209"/>
      <c r="N9" s="55" t="str">
        <f>PLANILHA!D11</f>
        <v>m2</v>
      </c>
      <c r="O9" s="48">
        <v>2</v>
      </c>
      <c r="P9" s="13"/>
    </row>
    <row r="10" spans="1:16" ht="12" customHeight="1">
      <c r="A10" s="46">
        <f>PLANILHA!A12</f>
        <v>2</v>
      </c>
      <c r="B10" s="204" t="str">
        <f>PLANILHA!C12</f>
        <v>EXECUÇÃO DE PONTE MISTA</v>
      </c>
      <c r="C10" s="205"/>
      <c r="D10" s="206"/>
      <c r="E10" s="198"/>
      <c r="F10" s="199"/>
      <c r="G10" s="199"/>
      <c r="H10" s="199"/>
      <c r="I10" s="199"/>
      <c r="J10" s="200"/>
      <c r="K10" s="207"/>
      <c r="L10" s="208"/>
      <c r="M10" s="209"/>
      <c r="N10" s="55"/>
      <c r="O10" s="48"/>
      <c r="P10" s="13"/>
    </row>
    <row r="11" spans="1:16" s="15" customFormat="1" ht="12" customHeight="1">
      <c r="A11" s="46" t="str">
        <f>PLANILHA!A13</f>
        <v>2.1</v>
      </c>
      <c r="B11" s="204" t="str">
        <f>PLANILHA!C13</f>
        <v>MESOESTRUTURA - ENCONTROS (2X)</v>
      </c>
      <c r="C11" s="205"/>
      <c r="D11" s="206"/>
      <c r="E11" s="198"/>
      <c r="F11" s="199"/>
      <c r="G11" s="199"/>
      <c r="H11" s="199"/>
      <c r="I11" s="199"/>
      <c r="J11" s="200"/>
      <c r="K11" s="207"/>
      <c r="L11" s="208"/>
      <c r="M11" s="209"/>
      <c r="N11" s="55"/>
      <c r="O11" s="49"/>
      <c r="P11" s="14"/>
    </row>
    <row r="12" spans="1:21" s="15" customFormat="1" ht="44.25" customHeight="1">
      <c r="A12" s="46" t="str">
        <f>PLANILHA!A14</f>
        <v>2.1.1</v>
      </c>
      <c r="B12" s="204" t="str">
        <f>PLANILHA!C14</f>
        <v>RETROESCAVADEIRA SOBRE RODAS COM CARREGADEIRA, TRAÇÃO 4X4, POTÊNCIA LÍQ. 88 HP, CAÇAMBA CARREG. CAP. MÍN. 1 M3, CAÇAMBA RETRO CAP. 0,26 M3, PESO OPERACIONAL MÍN. 6.674 KG, PROFUNDIDADE ESCAVAÇÃO MÁX. 4,37 M - CHI DIURNO </v>
      </c>
      <c r="C12" s="205"/>
      <c r="D12" s="206"/>
      <c r="E12" s="254" t="s">
        <v>144</v>
      </c>
      <c r="F12" s="255"/>
      <c r="G12" s="255"/>
      <c r="H12" s="255"/>
      <c r="I12" s="255"/>
      <c r="J12" s="256"/>
      <c r="K12" s="207" t="s">
        <v>145</v>
      </c>
      <c r="L12" s="208"/>
      <c r="M12" s="209"/>
      <c r="N12" s="55" t="str">
        <f>PLANILHA!D14</f>
        <v>CHI</v>
      </c>
      <c r="O12" s="49">
        <f>4</f>
        <v>4</v>
      </c>
      <c r="P12" s="14"/>
      <c r="Q12" s="124"/>
      <c r="R12" s="124"/>
      <c r="T12" s="124"/>
      <c r="U12" s="125"/>
    </row>
    <row r="13" spans="1:21" s="15" customFormat="1" ht="21" customHeight="1">
      <c r="A13" s="46" t="str">
        <f>PLANILHA!A15</f>
        <v>2.1.2</v>
      </c>
      <c r="B13" s="204" t="str">
        <f>PLANILHA!C15</f>
        <v>ESCAVAÇÃO MECÂNICA DE VALAS COM PROFUNDIDADE MENOR OU IGUAL A 1,5M, INCLUSIVE CARGA EM CAMINHÃO, EXCLUSIVE TRANSPORTE E DESCARGA</v>
      </c>
      <c r="C13" s="205"/>
      <c r="D13" s="206"/>
      <c r="E13" s="251" t="s">
        <v>137</v>
      </c>
      <c r="F13" s="252"/>
      <c r="G13" s="252"/>
      <c r="H13" s="252"/>
      <c r="I13" s="252"/>
      <c r="J13" s="253"/>
      <c r="K13" s="207" t="s">
        <v>154</v>
      </c>
      <c r="L13" s="208"/>
      <c r="M13" s="209"/>
      <c r="N13" s="55" t="str">
        <f>PLANILHA!D15</f>
        <v>m3</v>
      </c>
      <c r="O13" s="49">
        <f>ROUND(2.4*9*2.21,2)</f>
        <v>47.74</v>
      </c>
      <c r="P13" s="14"/>
      <c r="Q13" s="124"/>
      <c r="R13" s="124"/>
      <c r="T13" s="124"/>
      <c r="U13" s="125"/>
    </row>
    <row r="14" spans="1:21" s="15" customFormat="1" ht="22.5" customHeight="1">
      <c r="A14" s="46" t="str">
        <f>PLANILHA!A16</f>
        <v>2.1.3</v>
      </c>
      <c r="B14" s="204" t="str">
        <f>PLANILHA!C16</f>
        <v>TRANSPORTE MATERIAL QUALQ NATUREZA EM CAMINHÃO DMT &lt;= 1 KM (DENTRO DO PERÍMETRO URBANO)</v>
      </c>
      <c r="C14" s="205"/>
      <c r="D14" s="206"/>
      <c r="E14" s="198" t="s">
        <v>89</v>
      </c>
      <c r="F14" s="199"/>
      <c r="G14" s="199"/>
      <c r="H14" s="199"/>
      <c r="I14" s="199"/>
      <c r="J14" s="200"/>
      <c r="K14" s="201" t="str">
        <f>K13</f>
        <v>volume=(2,40x9,00x2,21)</v>
      </c>
      <c r="L14" s="202"/>
      <c r="M14" s="203"/>
      <c r="N14" s="55" t="str">
        <f>PLANILHA!D16</f>
        <v>m3</v>
      </c>
      <c r="O14" s="49">
        <f>O13</f>
        <v>47.74</v>
      </c>
      <c r="P14" s="14"/>
      <c r="Q14" s="124"/>
      <c r="R14" s="124"/>
      <c r="T14" s="124"/>
      <c r="U14" s="125"/>
    </row>
    <row r="15" spans="1:21" s="15" customFormat="1" ht="26.25" customHeight="1">
      <c r="A15" s="46" t="str">
        <f>PLANILHA!A17</f>
        <v>2.1.4</v>
      </c>
      <c r="B15" s="204" t="str">
        <f>PLANILHA!C17</f>
        <v>Escavação de vala em material de 3ª categoria</v>
      </c>
      <c r="C15" s="205"/>
      <c r="D15" s="206"/>
      <c r="E15" s="198" t="s">
        <v>184</v>
      </c>
      <c r="F15" s="199"/>
      <c r="G15" s="199"/>
      <c r="H15" s="199"/>
      <c r="I15" s="199"/>
      <c r="J15" s="200"/>
      <c r="K15" s="201" t="s">
        <v>185</v>
      </c>
      <c r="L15" s="202"/>
      <c r="M15" s="203"/>
      <c r="N15" s="55" t="str">
        <f>PLANILHA!D17</f>
        <v>m3</v>
      </c>
      <c r="O15" s="49">
        <f>(4*0.2*0.5+2.4*0.8*0.5)*2</f>
        <v>2.7199999999999998</v>
      </c>
      <c r="P15" s="14"/>
      <c r="Q15" s="124"/>
      <c r="R15" s="124"/>
      <c r="T15" s="124"/>
      <c r="U15" s="125"/>
    </row>
    <row r="16" spans="1:21" s="15" customFormat="1" ht="12.75">
      <c r="A16" s="46" t="str">
        <f>PLANILHA!A18</f>
        <v>2.1.5</v>
      </c>
      <c r="B16" s="204" t="str">
        <f>PLANILHA!C18</f>
        <v>Furo em rocha ø = 25,0 mm, profundidade = 50 mm</v>
      </c>
      <c r="C16" s="205"/>
      <c r="D16" s="206"/>
      <c r="E16" s="198" t="s">
        <v>177</v>
      </c>
      <c r="F16" s="199"/>
      <c r="G16" s="199"/>
      <c r="H16" s="199"/>
      <c r="I16" s="199"/>
      <c r="J16" s="200"/>
      <c r="K16" s="201" t="s">
        <v>179</v>
      </c>
      <c r="L16" s="202"/>
      <c r="M16" s="203"/>
      <c r="N16" s="55" t="str">
        <f>PLANILHA!D18</f>
        <v>UNID</v>
      </c>
      <c r="O16" s="49">
        <f>40*2</f>
        <v>80</v>
      </c>
      <c r="P16" s="14"/>
      <c r="Q16" s="124"/>
      <c r="R16" s="124"/>
      <c r="T16" s="124"/>
      <c r="U16" s="125"/>
    </row>
    <row r="17" spans="1:21" s="15" customFormat="1" ht="30" customHeight="1">
      <c r="A17" s="46" t="str">
        <f>PLANILHA!A19</f>
        <v>2.1.5.1</v>
      </c>
      <c r="B17" s="204" t="str">
        <f>PLANILHA!C19</f>
        <v>ANCORAGEM DE BARRAS DE AÇO COM CHUMBADOR QUÍMICO À BASE DE RESINA POLIÉSTER, EXCLUSIVE FORNECIMENTO DE BARRA</v>
      </c>
      <c r="C17" s="205"/>
      <c r="D17" s="206"/>
      <c r="E17" s="198" t="s">
        <v>172</v>
      </c>
      <c r="F17" s="199"/>
      <c r="G17" s="199"/>
      <c r="H17" s="199"/>
      <c r="I17" s="199"/>
      <c r="J17" s="200"/>
      <c r="K17" s="201" t="s">
        <v>176</v>
      </c>
      <c r="L17" s="202"/>
      <c r="M17" s="203"/>
      <c r="N17" s="55" t="str">
        <f>PLANILHA!D19</f>
        <v>dm3</v>
      </c>
      <c r="O17" s="49">
        <f>ROUND(O16*5*(0.25*0.25-0.2*0.2),2)</f>
        <v>9</v>
      </c>
      <c r="P17" s="14"/>
      <c r="Q17" s="124"/>
      <c r="R17" s="193" t="s">
        <v>54</v>
      </c>
      <c r="S17" s="193" t="s">
        <v>173</v>
      </c>
      <c r="T17" s="193" t="s">
        <v>174</v>
      </c>
      <c r="U17" s="194" t="s">
        <v>175</v>
      </c>
    </row>
    <row r="18" spans="1:21" s="15" customFormat="1" ht="22.5" customHeight="1">
      <c r="A18" s="46" t="str">
        <f>PLANILHA!A20</f>
        <v>2.1.5.2</v>
      </c>
      <c r="B18" s="204" t="str">
        <f>PLANILHA!C20</f>
        <v>BARRAS DE AÇO DIÂMETRO 20MM P/ ANCORAGEM DA ESTRUTURA EM ROCHA</v>
      </c>
      <c r="C18" s="205"/>
      <c r="D18" s="206"/>
      <c r="E18" s="198" t="s">
        <v>171</v>
      </c>
      <c r="F18" s="199"/>
      <c r="G18" s="199"/>
      <c r="H18" s="199"/>
      <c r="I18" s="199"/>
      <c r="J18" s="200"/>
      <c r="K18" s="201" t="s">
        <v>178</v>
      </c>
      <c r="L18" s="202"/>
      <c r="M18" s="203"/>
      <c r="N18" s="55" t="str">
        <f>PLANILHA!D20</f>
        <v>kg</v>
      </c>
      <c r="O18" s="49">
        <f>ROUND(O16*1.2*2.466,2)</f>
        <v>236.74</v>
      </c>
      <c r="P18" s="14"/>
      <c r="Q18" s="124"/>
      <c r="R18" s="193"/>
      <c r="S18" s="193">
        <v>0.25</v>
      </c>
      <c r="T18" s="193">
        <v>2.5</v>
      </c>
      <c r="U18" s="194">
        <v>25</v>
      </c>
    </row>
    <row r="19" spans="1:21" s="15" customFormat="1" ht="20.25" customHeight="1">
      <c r="A19" s="46" t="str">
        <f>PLANILHA!A21</f>
        <v>2.1.6</v>
      </c>
      <c r="B19" s="204" t="str">
        <f>PLANILHA!C21</f>
        <v>FORMA E DESFORMA DE TÁBUA E SARRAFO</v>
      </c>
      <c r="C19" s="205"/>
      <c r="D19" s="206"/>
      <c r="E19" s="251" t="s">
        <v>90</v>
      </c>
      <c r="F19" s="252"/>
      <c r="G19" s="252"/>
      <c r="H19" s="252"/>
      <c r="I19" s="252"/>
      <c r="J19" s="253"/>
      <c r="K19" s="201" t="s">
        <v>155</v>
      </c>
      <c r="L19" s="202"/>
      <c r="M19" s="203"/>
      <c r="N19" s="55" t="str">
        <f>PLANILHA!D21</f>
        <v>m2</v>
      </c>
      <c r="O19" s="49">
        <f>ROUND(((2.4+2.4+0.8+0.8)*2.21*2)++(((2+1)*2/2)*2*4),2)</f>
        <v>52.29</v>
      </c>
      <c r="P19" s="14"/>
      <c r="Q19" s="124"/>
      <c r="R19" s="193"/>
      <c r="S19" s="193">
        <v>5</v>
      </c>
      <c r="T19" s="193">
        <v>50</v>
      </c>
      <c r="U19" s="194"/>
    </row>
    <row r="20" spans="1:21" s="15" customFormat="1" ht="23.25" customHeight="1">
      <c r="A20" s="46" t="str">
        <f>PLANILHA!A22</f>
        <v>2.1.7</v>
      </c>
      <c r="B20" s="204" t="str">
        <f>PLANILHA!C22</f>
        <v>CORTE, DOBRA E ARMAÇÃO DE AÇO CA-50/60</v>
      </c>
      <c r="C20" s="205"/>
      <c r="D20" s="206"/>
      <c r="E20" s="198" t="s">
        <v>146</v>
      </c>
      <c r="F20" s="199"/>
      <c r="G20" s="199"/>
      <c r="H20" s="199"/>
      <c r="I20" s="199"/>
      <c r="J20" s="200"/>
      <c r="K20" s="201" t="s">
        <v>186</v>
      </c>
      <c r="L20" s="202"/>
      <c r="M20" s="203"/>
      <c r="N20" s="55" t="str">
        <f>PLANILHA!D22</f>
        <v>kg</v>
      </c>
      <c r="O20" s="49">
        <f>9.86+11.38+53.31+78.98+90</f>
        <v>243.53000000000003</v>
      </c>
      <c r="P20" s="14"/>
      <c r="Q20" s="124">
        <f>8*4*3*0.617</f>
        <v>59.232</v>
      </c>
      <c r="R20" s="124" t="s">
        <v>187</v>
      </c>
      <c r="T20" s="124"/>
      <c r="U20" s="125"/>
    </row>
    <row r="21" spans="1:21" s="15" customFormat="1" ht="30" customHeight="1">
      <c r="A21" s="46" t="str">
        <f>PLANILHA!A23</f>
        <v>2.1.8</v>
      </c>
      <c r="B21" s="204" t="str">
        <f>PLANILHA!C23</f>
        <v>FORNECIMENTO DE CONCRETO ESTRUTURAL, USINADO BOMBEADO, COM FCK 25 MPA, INCLUSIVE LANÇAMENTO, ADENSAMENTO E ACABAMENTO</v>
      </c>
      <c r="C21" s="205"/>
      <c r="D21" s="206"/>
      <c r="E21" s="198" t="s">
        <v>91</v>
      </c>
      <c r="F21" s="199"/>
      <c r="G21" s="199"/>
      <c r="H21" s="199"/>
      <c r="I21" s="199"/>
      <c r="J21" s="200"/>
      <c r="K21" s="201" t="s">
        <v>156</v>
      </c>
      <c r="L21" s="202"/>
      <c r="M21" s="203"/>
      <c r="N21" s="55" t="str">
        <f>PLANILHA!D23</f>
        <v>m3</v>
      </c>
      <c r="O21" s="126">
        <f>ROUND((2.4*0.8*2.3*2+2.4*0.21*0.2*2)+((2+1)*2/2)*0.2*4,2)</f>
        <v>11.43</v>
      </c>
      <c r="P21" s="14"/>
      <c r="R21" s="124"/>
      <c r="T21" s="124"/>
      <c r="U21" s="125"/>
    </row>
    <row r="22" spans="1:21" s="15" customFormat="1" ht="11.25" customHeight="1">
      <c r="A22" s="46" t="str">
        <f>PLANILHA!A24</f>
        <v>2.1.9</v>
      </c>
      <c r="B22" s="204" t="str">
        <f>PLANILHA!C24</f>
        <v>REATERRO COMPACTADO COM EQUIPAMENTO PLACA VIBRATÓRIA</v>
      </c>
      <c r="C22" s="205"/>
      <c r="D22" s="206"/>
      <c r="E22" s="251" t="s">
        <v>100</v>
      </c>
      <c r="F22" s="252"/>
      <c r="G22" s="252"/>
      <c r="H22" s="252"/>
      <c r="I22" s="252"/>
      <c r="J22" s="253"/>
      <c r="K22" s="207" t="s">
        <v>157</v>
      </c>
      <c r="L22" s="208"/>
      <c r="M22" s="209"/>
      <c r="N22" s="55" t="str">
        <f>PLANILHA!D24</f>
        <v>m3</v>
      </c>
      <c r="O22" s="49">
        <f>ROUND(3.7*0.3*2.21*2,2)</f>
        <v>4.91</v>
      </c>
      <c r="P22" s="14"/>
      <c r="Q22" s="124"/>
      <c r="R22" s="124"/>
      <c r="T22" s="124"/>
      <c r="U22" s="125"/>
    </row>
    <row r="23" spans="1:21" s="15" customFormat="1" ht="12" customHeight="1">
      <c r="A23" s="46" t="str">
        <f>PLANILHA!A25</f>
        <v>2.2</v>
      </c>
      <c r="B23" s="204" t="str">
        <f>PLANILHA!C25</f>
        <v>SUPERESTRUTURA</v>
      </c>
      <c r="C23" s="205"/>
      <c r="D23" s="206"/>
      <c r="E23" s="248"/>
      <c r="F23" s="249"/>
      <c r="G23" s="249"/>
      <c r="H23" s="249"/>
      <c r="I23" s="249"/>
      <c r="J23" s="250"/>
      <c r="K23" s="201"/>
      <c r="L23" s="202"/>
      <c r="M23" s="203"/>
      <c r="N23" s="55"/>
      <c r="O23" s="49"/>
      <c r="P23" s="14"/>
      <c r="Q23" s="124"/>
      <c r="R23" s="124"/>
      <c r="T23" s="124"/>
      <c r="U23" s="125"/>
    </row>
    <row r="24" spans="1:21" s="15" customFormat="1" ht="31.5" customHeight="1">
      <c r="A24" s="46" t="str">
        <f>PLANILHA!A26</f>
        <v>2.2.1</v>
      </c>
      <c r="B24" s="204" t="str">
        <f>PLANILHA!C26</f>
        <v>APARELHOS APOIO EM NEOPRENE FRETADO  DIM 300X600X40MM (EXECUÇÃO INCL APLICAÇÃO FORNECIMENTO TRANSPORTE MATERIAIS)</v>
      </c>
      <c r="C24" s="205"/>
      <c r="D24" s="206"/>
      <c r="E24" s="198" t="s">
        <v>127</v>
      </c>
      <c r="F24" s="199"/>
      <c r="G24" s="199"/>
      <c r="H24" s="199"/>
      <c r="I24" s="199"/>
      <c r="J24" s="200"/>
      <c r="K24" s="207" t="s">
        <v>128</v>
      </c>
      <c r="L24" s="208"/>
      <c r="M24" s="209"/>
      <c r="N24" s="55" t="str">
        <f>PLANILHA!D26</f>
        <v>dm3</v>
      </c>
      <c r="O24" s="49">
        <f>ROUND(1.5*2*0.4*2*2,2)</f>
        <v>4.8</v>
      </c>
      <c r="P24" s="14"/>
      <c r="Q24" s="124"/>
      <c r="R24" s="124"/>
      <c r="T24" s="124"/>
      <c r="U24" s="125"/>
    </row>
    <row r="25" spans="1:21" s="15" customFormat="1" ht="12" customHeight="1">
      <c r="A25" s="46" t="str">
        <f>PLANILHA!A27</f>
        <v>2.2.2</v>
      </c>
      <c r="B25" s="204" t="str">
        <f>PLANILHA!C27</f>
        <v>FORNECIMENTO E LANÇAMENTO DE VIGAS METALICAS</v>
      </c>
      <c r="C25" s="205"/>
      <c r="D25" s="206"/>
      <c r="E25" s="248"/>
      <c r="F25" s="249"/>
      <c r="G25" s="249"/>
      <c r="H25" s="249"/>
      <c r="I25" s="249"/>
      <c r="J25" s="250"/>
      <c r="K25" s="201"/>
      <c r="L25" s="202"/>
      <c r="M25" s="203"/>
      <c r="N25" s="55"/>
      <c r="O25" s="49"/>
      <c r="P25" s="14"/>
      <c r="Q25" s="124"/>
      <c r="R25" s="124"/>
      <c r="T25" s="124"/>
      <c r="U25" s="125"/>
    </row>
    <row r="26" spans="1:21" s="15" customFormat="1" ht="39.75" customHeight="1">
      <c r="A26" s="46" t="str">
        <f>PLANILHA!A28</f>
        <v>2.2.2.1</v>
      </c>
      <c r="B26" s="204" t="str">
        <f>PLANILHA!C28</f>
        <v>FORNECIMENTO DE ESTRUTURA METÁLICA EM PERFIL LAMINADO, INCLUSIVE FABRICAÇÃO, TRANSPORTE, MONTAGEM E APLICAÇÃO DE FUNDO PREPARADOR ANTICORROSIVO EM SUPERFÍCIE METÁLICA, UMA (1) DEMÃO (PERFIL METÁLICO W530x92)</v>
      </c>
      <c r="C26" s="205"/>
      <c r="D26" s="206"/>
      <c r="E26" s="248" t="s">
        <v>92</v>
      </c>
      <c r="F26" s="249"/>
      <c r="G26" s="249"/>
      <c r="H26" s="249"/>
      <c r="I26" s="249"/>
      <c r="J26" s="250"/>
      <c r="K26" s="207" t="s">
        <v>158</v>
      </c>
      <c r="L26" s="208"/>
      <c r="M26" s="209"/>
      <c r="N26" s="55" t="str">
        <f>PLANILHA!D28</f>
        <v>kg</v>
      </c>
      <c r="O26" s="49">
        <f>ROUND(2*6*92,2)</f>
        <v>1104</v>
      </c>
      <c r="P26" s="14"/>
      <c r="Q26" s="124"/>
      <c r="R26" s="124"/>
      <c r="T26" s="124"/>
      <c r="U26" s="125"/>
    </row>
    <row r="27" spans="1:21" s="15" customFormat="1" ht="42" customHeight="1">
      <c r="A27" s="46" t="str">
        <f>PLANILHA!A29</f>
        <v>2.2.2.2</v>
      </c>
      <c r="B27" s="204" t="str">
        <f>PLANILHA!C29</f>
        <v>FORNECIMENTO DE ESTRUTURA METÁLICA EM PERFIL LAMINADO, INCLUSIVE FABRICAÇÃO, TRANSPORTE, MONTAGEM E APLICAÇÃO DE FUNDO PREPARADOR ANTICORROSIVO EM SUPERFÍCIE METÁLICA, UMA (1) DEMÃO (PERFIL METÁLICO W250x22,3)</v>
      </c>
      <c r="C27" s="205"/>
      <c r="D27" s="206"/>
      <c r="E27" s="248" t="s">
        <v>92</v>
      </c>
      <c r="F27" s="249"/>
      <c r="G27" s="249"/>
      <c r="H27" s="249"/>
      <c r="I27" s="249"/>
      <c r="J27" s="250"/>
      <c r="K27" s="207" t="s">
        <v>159</v>
      </c>
      <c r="L27" s="208"/>
      <c r="M27" s="209"/>
      <c r="N27" s="55" t="str">
        <f>PLANILHA!D29</f>
        <v>kg</v>
      </c>
      <c r="O27" s="49">
        <f>ROUND(3*1.8*22.3,2)</f>
        <v>120.42</v>
      </c>
      <c r="P27" s="14"/>
      <c r="Q27" s="124"/>
      <c r="R27" s="124"/>
      <c r="S27" s="15">
        <f>1104+120.42+41.47</f>
        <v>1265.89</v>
      </c>
      <c r="T27" s="124"/>
      <c r="U27" s="125"/>
    </row>
    <row r="28" spans="1:21" s="15" customFormat="1" ht="23.25" customHeight="1">
      <c r="A28" s="46" t="str">
        <f>PLANILHA!A30</f>
        <v>2.2.2.3</v>
      </c>
      <c r="B28" s="204" t="str">
        <f>PLANILHA!C30</f>
        <v>CONECTOR PERFIL METÁLICO LAMINADO U 4" (8,13mm//10,79kg/m) SOLDADO CADA 25CM COMPR=8CM</v>
      </c>
      <c r="C28" s="205"/>
      <c r="D28" s="206"/>
      <c r="E28" s="248" t="s">
        <v>92</v>
      </c>
      <c r="F28" s="249"/>
      <c r="G28" s="249"/>
      <c r="H28" s="249"/>
      <c r="I28" s="249"/>
      <c r="J28" s="250"/>
      <c r="K28" s="207" t="s">
        <v>160</v>
      </c>
      <c r="L28" s="208"/>
      <c r="M28" s="209"/>
      <c r="N28" s="55" t="str">
        <f>PLANILHA!D30</f>
        <v>kg</v>
      </c>
      <c r="O28" s="49">
        <f>ROUND(24*2*0.08*10.8,2)</f>
        <v>41.47</v>
      </c>
      <c r="P28" s="14"/>
      <c r="Q28" s="124"/>
      <c r="R28" s="124"/>
      <c r="T28" s="124"/>
      <c r="U28" s="125"/>
    </row>
    <row r="29" spans="1:21" s="15" customFormat="1" ht="12" customHeight="1">
      <c r="A29" s="46" t="str">
        <f>PLANILHA!A31</f>
        <v>2.2.3</v>
      </c>
      <c r="B29" s="204" t="str">
        <f>PLANILHA!C31</f>
        <v>CONFECÇÃO E LANÇAMENTO DE PLACAS PRÉ-MOLDADAS (PRÉ-LAJE)</v>
      </c>
      <c r="C29" s="205"/>
      <c r="D29" s="206"/>
      <c r="E29" s="260"/>
      <c r="F29" s="261"/>
      <c r="G29" s="261"/>
      <c r="H29" s="261"/>
      <c r="I29" s="261"/>
      <c r="J29" s="262"/>
      <c r="K29" s="201"/>
      <c r="L29" s="202"/>
      <c r="M29" s="203"/>
      <c r="N29" s="55"/>
      <c r="O29" s="49"/>
      <c r="P29" s="14"/>
      <c r="Q29" s="124"/>
      <c r="R29" s="124"/>
      <c r="T29" s="124"/>
      <c r="U29" s="125"/>
    </row>
    <row r="30" spans="1:21" s="15" customFormat="1" ht="12" customHeight="1">
      <c r="A30" s="46" t="str">
        <f>PLANILHA!A32</f>
        <v>2.2.3.1</v>
      </c>
      <c r="B30" s="204" t="str">
        <f>PLANILHA!C32</f>
        <v>FORMA E DESFORMA DE TÁBUA E SARRAFO</v>
      </c>
      <c r="C30" s="205"/>
      <c r="D30" s="206"/>
      <c r="E30" s="248" t="s">
        <v>93</v>
      </c>
      <c r="F30" s="249"/>
      <c r="G30" s="249"/>
      <c r="H30" s="249"/>
      <c r="I30" s="249"/>
      <c r="J30" s="250"/>
      <c r="K30" s="207" t="s">
        <v>161</v>
      </c>
      <c r="L30" s="208"/>
      <c r="M30" s="209"/>
      <c r="N30" s="55" t="str">
        <f>PLANILHA!D32</f>
        <v>m2</v>
      </c>
      <c r="O30" s="49">
        <f>ROUND((2.4+2.4+0.97+0.97)*0.07*6,2)</f>
        <v>2.83</v>
      </c>
      <c r="P30" s="14"/>
      <c r="Q30" s="124">
        <f>2.4*2+0.97*2</f>
        <v>6.74</v>
      </c>
      <c r="R30" s="124"/>
      <c r="T30" s="124"/>
      <c r="U30" s="125"/>
    </row>
    <row r="31" spans="1:21" s="15" customFormat="1" ht="21.75" customHeight="1">
      <c r="A31" s="46" t="str">
        <f>PLANILHA!A33</f>
        <v>2.2.3.2</v>
      </c>
      <c r="B31" s="204" t="str">
        <f>PLANILHA!C33</f>
        <v>CORTE, DOBRA E ARMAÇÃO DE AÇO CA-50/60</v>
      </c>
      <c r="C31" s="205"/>
      <c r="D31" s="206"/>
      <c r="E31" s="248" t="s">
        <v>94</v>
      </c>
      <c r="F31" s="249"/>
      <c r="G31" s="249"/>
      <c r="H31" s="249"/>
      <c r="I31" s="249"/>
      <c r="J31" s="250"/>
      <c r="K31" s="201" t="s">
        <v>102</v>
      </c>
      <c r="L31" s="202"/>
      <c r="M31" s="203"/>
      <c r="N31" s="55" t="str">
        <f>PLANILHA!D33</f>
        <v>kg</v>
      </c>
      <c r="O31" s="49">
        <f>69.3+4.7+10.32</f>
        <v>84.32</v>
      </c>
      <c r="P31" s="14"/>
      <c r="Q31" s="124"/>
      <c r="R31" s="124"/>
      <c r="T31" s="124"/>
      <c r="U31" s="125"/>
    </row>
    <row r="32" spans="1:21" s="15" customFormat="1" ht="30.75" customHeight="1">
      <c r="A32" s="46" t="str">
        <f>PLANILHA!A34</f>
        <v>2.2.3.3</v>
      </c>
      <c r="B32" s="204" t="str">
        <f>PLANILHA!C34</f>
        <v>FORNECIMENTO DE CONCRETO ESTRUTURAL, PREPARADO EM OBRA, COM FCK 25 MPA, INCLUSIVE LANÇAMENTO, ADENSAMENTO E ACABAMENTO</v>
      </c>
      <c r="C32" s="205"/>
      <c r="D32" s="206"/>
      <c r="E32" s="248" t="s">
        <v>95</v>
      </c>
      <c r="F32" s="249"/>
      <c r="G32" s="249"/>
      <c r="H32" s="249"/>
      <c r="I32" s="249"/>
      <c r="J32" s="250"/>
      <c r="K32" s="207" t="s">
        <v>162</v>
      </c>
      <c r="L32" s="208"/>
      <c r="M32" s="209"/>
      <c r="N32" s="55" t="str">
        <f>PLANILHA!D34</f>
        <v>m3</v>
      </c>
      <c r="O32" s="49">
        <f>ROUND(1.13*0.07*6,2)</f>
        <v>0.47</v>
      </c>
      <c r="P32" s="14"/>
      <c r="Q32" s="124"/>
      <c r="R32" s="124"/>
      <c r="S32" s="15">
        <f>(1.74/3.7)*2.4</f>
        <v>1.1286486486486484</v>
      </c>
      <c r="T32" s="124"/>
      <c r="U32" s="125"/>
    </row>
    <row r="33" spans="1:21" s="15" customFormat="1" ht="12" customHeight="1">
      <c r="A33" s="46" t="str">
        <f>PLANILHA!A35</f>
        <v>2.2.4</v>
      </c>
      <c r="B33" s="204" t="str">
        <f>PLANILHA!C35</f>
        <v>TABULEIRO E GUARDA RODAS</v>
      </c>
      <c r="C33" s="205"/>
      <c r="D33" s="206"/>
      <c r="E33" s="248"/>
      <c r="F33" s="249"/>
      <c r="G33" s="249"/>
      <c r="H33" s="249"/>
      <c r="I33" s="249"/>
      <c r="J33" s="250"/>
      <c r="K33" s="201"/>
      <c r="L33" s="202"/>
      <c r="M33" s="203"/>
      <c r="N33" s="55"/>
      <c r="O33" s="49"/>
      <c r="P33" s="14"/>
      <c r="Q33" s="124"/>
      <c r="R33" s="124"/>
      <c r="T33" s="124"/>
      <c r="U33" s="125"/>
    </row>
    <row r="34" spans="1:21" s="15" customFormat="1" ht="30" customHeight="1">
      <c r="A34" s="46" t="str">
        <f>PLANILHA!A36</f>
        <v>2.2.4.1</v>
      </c>
      <c r="B34" s="204" t="str">
        <f>PLANILHA!C36</f>
        <v>FORMA E DESFORMA DE TÁBUA E SARRAFO</v>
      </c>
      <c r="C34" s="205"/>
      <c r="D34" s="206"/>
      <c r="E34" s="260" t="s">
        <v>96</v>
      </c>
      <c r="F34" s="261"/>
      <c r="G34" s="261"/>
      <c r="H34" s="261"/>
      <c r="I34" s="261"/>
      <c r="J34" s="262"/>
      <c r="K34" s="201" t="s">
        <v>163</v>
      </c>
      <c r="L34" s="202"/>
      <c r="M34" s="203"/>
      <c r="N34" s="55" t="str">
        <f>PLANILHA!D36</f>
        <v>m2</v>
      </c>
      <c r="O34" s="49">
        <f>ROUND((2.4+6+2.4+6)*0.14+1.5*6.43*2,2)</f>
        <v>21.64</v>
      </c>
      <c r="P34" s="14"/>
      <c r="Q34" s="124"/>
      <c r="R34" s="124"/>
      <c r="T34" s="124"/>
      <c r="U34" s="125"/>
    </row>
    <row r="35" spans="1:21" s="15" customFormat="1" ht="19.5" customHeight="1">
      <c r="A35" s="46" t="str">
        <f>PLANILHA!A37</f>
        <v>2.2.4.2</v>
      </c>
      <c r="B35" s="204" t="str">
        <f>PLANILHA!C37</f>
        <v>CORTE, DOBRA E ARMAÇÃO DE AÇO CA-50/60</v>
      </c>
      <c r="C35" s="205"/>
      <c r="D35" s="206"/>
      <c r="E35" s="248" t="s">
        <v>97</v>
      </c>
      <c r="F35" s="249"/>
      <c r="G35" s="249"/>
      <c r="H35" s="249"/>
      <c r="I35" s="249"/>
      <c r="J35" s="250"/>
      <c r="K35" s="201" t="s">
        <v>103</v>
      </c>
      <c r="L35" s="202"/>
      <c r="M35" s="203"/>
      <c r="N35" s="55" t="str">
        <f>PLANILHA!D37</f>
        <v>kg</v>
      </c>
      <c r="O35" s="49">
        <f>38.74+37.48+88.14+62.49+15.78</f>
        <v>242.63000000000002</v>
      </c>
      <c r="P35" s="14"/>
      <c r="Q35" s="124"/>
      <c r="R35" s="124"/>
      <c r="T35" s="124"/>
      <c r="U35" s="125"/>
    </row>
    <row r="36" spans="1:21" s="15" customFormat="1" ht="30" customHeight="1">
      <c r="A36" s="46" t="str">
        <f>PLANILHA!A38</f>
        <v>2.2.4.3</v>
      </c>
      <c r="B36" s="204" t="str">
        <f>PLANILHA!C38</f>
        <v>FORNECIMENTO DE CONCRETO ESTRUTURAL, USINADO BOMBEADO, COM FCK 25 MPA, INCLUSIVE LANÇAMENTO, ADENSAMENTO E ACABAMENTO</v>
      </c>
      <c r="C36" s="205"/>
      <c r="D36" s="206"/>
      <c r="E36" s="260" t="s">
        <v>98</v>
      </c>
      <c r="F36" s="261"/>
      <c r="G36" s="261"/>
      <c r="H36" s="261"/>
      <c r="I36" s="261"/>
      <c r="J36" s="262"/>
      <c r="K36" s="201" t="s">
        <v>164</v>
      </c>
      <c r="L36" s="202"/>
      <c r="M36" s="203"/>
      <c r="N36" s="55" t="str">
        <f>PLANILHA!D38</f>
        <v>m3</v>
      </c>
      <c r="O36" s="49">
        <f>ROUND(2.4*6*0.14+0.2*0.3*6.43*2,2)</f>
        <v>2.79</v>
      </c>
      <c r="P36" s="14"/>
      <c r="Q36" s="124"/>
      <c r="R36" s="124"/>
      <c r="T36" s="124"/>
      <c r="U36" s="125"/>
    </row>
    <row r="37" spans="1:21" s="15" customFormat="1" ht="12" customHeight="1">
      <c r="A37" s="46">
        <f>PLANILHA!A39</f>
        <v>3</v>
      </c>
      <c r="B37" s="204" t="str">
        <f>PLANILHA!C39</f>
        <v>LIMPEZA GERAL</v>
      </c>
      <c r="C37" s="205"/>
      <c r="D37" s="206"/>
      <c r="E37" s="257"/>
      <c r="F37" s="258"/>
      <c r="G37" s="258"/>
      <c r="H37" s="258"/>
      <c r="I37" s="258"/>
      <c r="J37" s="259"/>
      <c r="K37" s="201"/>
      <c r="L37" s="202"/>
      <c r="M37" s="203"/>
      <c r="N37" s="55"/>
      <c r="O37" s="49"/>
      <c r="P37" s="14"/>
      <c r="Q37" s="124"/>
      <c r="R37" s="124"/>
      <c r="T37" s="124"/>
      <c r="U37" s="125"/>
    </row>
    <row r="38" spans="1:21" s="15" customFormat="1" ht="12" customHeight="1">
      <c r="A38" s="46" t="str">
        <f>PLANILHA!A40</f>
        <v>3.1</v>
      </c>
      <c r="B38" s="204" t="str">
        <f>PLANILHA!C40</f>
        <v>LIMPEZA FINAL PARA ENTREGA DA OBRA</v>
      </c>
      <c r="C38" s="205"/>
      <c r="D38" s="206"/>
      <c r="E38" s="248" t="s">
        <v>99</v>
      </c>
      <c r="F38" s="249"/>
      <c r="G38" s="249"/>
      <c r="H38" s="249"/>
      <c r="I38" s="249"/>
      <c r="J38" s="250"/>
      <c r="K38" s="201" t="s">
        <v>165</v>
      </c>
      <c r="L38" s="202"/>
      <c r="M38" s="203"/>
      <c r="N38" s="55" t="str">
        <f>PLANILHA!D40</f>
        <v>m2</v>
      </c>
      <c r="O38" s="49">
        <f>ROUND(2.4*6.43,2)</f>
        <v>15.43</v>
      </c>
      <c r="P38" s="14"/>
      <c r="Q38" s="124"/>
      <c r="R38" s="124"/>
      <c r="T38" s="124"/>
      <c r="U38" s="125"/>
    </row>
    <row r="39" spans="1:16" s="15" customFormat="1" ht="9.75" customHeight="1">
      <c r="A39" s="16"/>
      <c r="B39" s="17"/>
      <c r="C39" s="17"/>
      <c r="D39" s="17"/>
      <c r="E39" s="50"/>
      <c r="F39" s="18"/>
      <c r="G39" s="19"/>
      <c r="H39" s="18"/>
      <c r="I39" s="18"/>
      <c r="J39" s="18"/>
      <c r="K39" s="16"/>
      <c r="L39" s="16"/>
      <c r="M39" s="16"/>
      <c r="N39" s="16"/>
      <c r="O39" s="50"/>
      <c r="P39" s="14"/>
    </row>
    <row r="40" spans="1:16" s="15" customFormat="1" ht="14.25" customHeight="1">
      <c r="A40" s="20" t="str">
        <f>O2</f>
        <v>DATA: 04/03/24</v>
      </c>
      <c r="B40" s="21"/>
      <c r="C40" s="22"/>
      <c r="D40" s="22"/>
      <c r="E40" s="23"/>
      <c r="F40" s="23"/>
      <c r="G40" s="23"/>
      <c r="H40" s="23"/>
      <c r="I40" s="23"/>
      <c r="J40" s="23"/>
      <c r="K40" s="24"/>
      <c r="L40" s="25"/>
      <c r="M40" s="25"/>
      <c r="N40" s="26"/>
      <c r="O40" s="27"/>
      <c r="P40" s="14"/>
    </row>
    <row r="41" spans="1:16" s="15" customFormat="1" ht="14.25" customHeight="1">
      <c r="A41" s="20"/>
      <c r="B41" s="21"/>
      <c r="C41" s="22"/>
      <c r="D41" s="22"/>
      <c r="E41" s="23"/>
      <c r="F41" s="23"/>
      <c r="G41" s="23"/>
      <c r="H41" s="23"/>
      <c r="I41" s="23"/>
      <c r="J41" s="23"/>
      <c r="K41" s="24"/>
      <c r="L41" s="25"/>
      <c r="M41" s="25"/>
      <c r="N41" s="26"/>
      <c r="O41" s="27"/>
      <c r="P41" s="14"/>
    </row>
    <row r="42" spans="9:23" ht="15.75">
      <c r="I42" s="29"/>
      <c r="J42" s="10"/>
      <c r="L42" s="31"/>
      <c r="M42" s="31" t="s">
        <v>30</v>
      </c>
      <c r="P42" s="11"/>
      <c r="Q42" s="33"/>
      <c r="R42" s="34"/>
      <c r="S42" s="34"/>
      <c r="T42" s="28"/>
      <c r="U42" s="35"/>
      <c r="V42" s="35"/>
      <c r="W42" s="36"/>
    </row>
    <row r="43" spans="9:23" ht="15.75">
      <c r="I43" s="29"/>
      <c r="J43" s="10"/>
      <c r="L43" s="31"/>
      <c r="M43" s="31" t="s">
        <v>31</v>
      </c>
      <c r="P43" s="11"/>
      <c r="Q43" s="33"/>
      <c r="R43" s="34"/>
      <c r="S43" s="34"/>
      <c r="T43" s="28"/>
      <c r="U43" s="35"/>
      <c r="V43" s="35"/>
      <c r="W43" s="36"/>
    </row>
    <row r="51" spans="15:17" ht="12.75">
      <c r="O51" s="101"/>
      <c r="P51" s="102"/>
      <c r="Q51" s="103"/>
    </row>
    <row r="52" spans="15:17" ht="12.75">
      <c r="O52" s="104"/>
      <c r="P52" s="102"/>
      <c r="Q52" s="105"/>
    </row>
  </sheetData>
  <sheetProtection/>
  <mergeCells count="107">
    <mergeCell ref="K38:M38"/>
    <mergeCell ref="K32:M32"/>
    <mergeCell ref="E31:J31"/>
    <mergeCell ref="E32:J32"/>
    <mergeCell ref="E35:J35"/>
    <mergeCell ref="K36:M36"/>
    <mergeCell ref="K26:M26"/>
    <mergeCell ref="K21:M21"/>
    <mergeCell ref="K37:M37"/>
    <mergeCell ref="K27:M27"/>
    <mergeCell ref="K28:M28"/>
    <mergeCell ref="K29:M29"/>
    <mergeCell ref="K30:M30"/>
    <mergeCell ref="K34:M34"/>
    <mergeCell ref="K24:M24"/>
    <mergeCell ref="K25:M25"/>
    <mergeCell ref="K18:M18"/>
    <mergeCell ref="K13:M13"/>
    <mergeCell ref="K14:M14"/>
    <mergeCell ref="K19:M19"/>
    <mergeCell ref="K20:M20"/>
    <mergeCell ref="K35:M35"/>
    <mergeCell ref="K31:M31"/>
    <mergeCell ref="K33:M33"/>
    <mergeCell ref="K22:M22"/>
    <mergeCell ref="K23:M23"/>
    <mergeCell ref="E12:J12"/>
    <mergeCell ref="E37:J37"/>
    <mergeCell ref="E22:J22"/>
    <mergeCell ref="E23:J23"/>
    <mergeCell ref="E24:J24"/>
    <mergeCell ref="E25:J25"/>
    <mergeCell ref="E26:J26"/>
    <mergeCell ref="E27:J27"/>
    <mergeCell ref="E36:J36"/>
    <mergeCell ref="E29:J29"/>
    <mergeCell ref="E13:J13"/>
    <mergeCell ref="E14:J14"/>
    <mergeCell ref="E19:J19"/>
    <mergeCell ref="E20:J20"/>
    <mergeCell ref="E21:J21"/>
    <mergeCell ref="E30:J30"/>
    <mergeCell ref="B35:D35"/>
    <mergeCell ref="B36:D36"/>
    <mergeCell ref="B37:D37"/>
    <mergeCell ref="B38:D38"/>
    <mergeCell ref="E28:J28"/>
    <mergeCell ref="E18:J18"/>
    <mergeCell ref="E38:J38"/>
    <mergeCell ref="E33:J33"/>
    <mergeCell ref="E34:J34"/>
    <mergeCell ref="B29:D29"/>
    <mergeCell ref="B30:D30"/>
    <mergeCell ref="B31:D31"/>
    <mergeCell ref="B32:D32"/>
    <mergeCell ref="B33:D33"/>
    <mergeCell ref="B34:D34"/>
    <mergeCell ref="B13:D13"/>
    <mergeCell ref="B14:D14"/>
    <mergeCell ref="B19:D19"/>
    <mergeCell ref="B26:D26"/>
    <mergeCell ref="B27:D27"/>
    <mergeCell ref="B28:D28"/>
    <mergeCell ref="B21:D21"/>
    <mergeCell ref="B22:D22"/>
    <mergeCell ref="B23:D23"/>
    <mergeCell ref="B24:D24"/>
    <mergeCell ref="B25:D25"/>
    <mergeCell ref="B18:D18"/>
    <mergeCell ref="B20:D20"/>
    <mergeCell ref="E8:J8"/>
    <mergeCell ref="K8:M8"/>
    <mergeCell ref="E11:J11"/>
    <mergeCell ref="K11:M11"/>
    <mergeCell ref="B8:D8"/>
    <mergeCell ref="B9:D9"/>
    <mergeCell ref="B10:D10"/>
    <mergeCell ref="B11:D11"/>
    <mergeCell ref="B12:D12"/>
    <mergeCell ref="A2:B4"/>
    <mergeCell ref="A5:A6"/>
    <mergeCell ref="N5:N6"/>
    <mergeCell ref="E5:M6"/>
    <mergeCell ref="B7:D7"/>
    <mergeCell ref="O2:O4"/>
    <mergeCell ref="C3:N3"/>
    <mergeCell ref="C4:N4"/>
    <mergeCell ref="O5:O6"/>
    <mergeCell ref="K12:M12"/>
    <mergeCell ref="E7:J7"/>
    <mergeCell ref="K7:M7"/>
    <mergeCell ref="E9:J9"/>
    <mergeCell ref="K9:M9"/>
    <mergeCell ref="C1:K1"/>
    <mergeCell ref="E10:J10"/>
    <mergeCell ref="K10:M10"/>
    <mergeCell ref="C2:N2"/>
    <mergeCell ref="B5:D6"/>
    <mergeCell ref="E16:J16"/>
    <mergeCell ref="K16:M16"/>
    <mergeCell ref="B17:D17"/>
    <mergeCell ref="E17:J17"/>
    <mergeCell ref="K17:M17"/>
    <mergeCell ref="B15:D15"/>
    <mergeCell ref="E15:J15"/>
    <mergeCell ref="K15:M15"/>
    <mergeCell ref="B16:D16"/>
  </mergeCells>
  <printOptions horizontalCentered="1"/>
  <pageMargins left="0.2362204724409449" right="0.2362204724409449" top="0.15748031496062992" bottom="0.15748031496062992" header="0.11811023622047245" footer="0.1181102362204724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L102"/>
  <sheetViews>
    <sheetView showGridLines="0" showZeros="0" view="pageBreakPreview" zoomScaleSheetLayoutView="100" zoomScalePageLayoutView="0" workbookViewId="0" topLeftCell="A21">
      <selection activeCell="F11" sqref="F11"/>
    </sheetView>
  </sheetViews>
  <sheetFormatPr defaultColWidth="9.140625" defaultRowHeight="12.75"/>
  <cols>
    <col min="1" max="1" width="6.8515625" style="1" customWidth="1"/>
    <col min="2" max="2" width="12.421875" style="1" customWidth="1"/>
    <col min="3" max="3" width="84.7109375" style="1" customWidth="1"/>
    <col min="4" max="4" width="8.7109375" style="1" customWidth="1"/>
    <col min="5" max="5" width="10.140625" style="1" customWidth="1"/>
    <col min="6" max="6" width="11.7109375" style="1" bestFit="1" customWidth="1"/>
    <col min="7" max="7" width="10.7109375" style="1" customWidth="1"/>
    <col min="8" max="8" width="12.7109375" style="1" bestFit="1" customWidth="1"/>
    <col min="9" max="9" width="11.28125" style="1" bestFit="1" customWidth="1"/>
    <col min="10" max="10" width="9.140625" style="1" customWidth="1"/>
    <col min="11" max="11" width="9.421875" style="1" bestFit="1" customWidth="1"/>
    <col min="12" max="16384" width="9.140625" style="1" customWidth="1"/>
  </cols>
  <sheetData>
    <row r="1" spans="1:8" ht="60" customHeight="1">
      <c r="A1" s="282"/>
      <c r="B1" s="283"/>
      <c r="C1" s="280"/>
      <c r="D1" s="280"/>
      <c r="E1" s="280"/>
      <c r="F1" s="280"/>
      <c r="G1" s="280"/>
      <c r="H1" s="281"/>
    </row>
    <row r="2" spans="1:8" ht="15.75" customHeight="1">
      <c r="A2" s="277" t="s">
        <v>124</v>
      </c>
      <c r="B2" s="278"/>
      <c r="C2" s="278"/>
      <c r="D2" s="278"/>
      <c r="E2" s="278"/>
      <c r="F2" s="278"/>
      <c r="G2" s="278"/>
      <c r="H2" s="279"/>
    </row>
    <row r="3" spans="1:8" ht="15.75" customHeight="1">
      <c r="A3" s="189" t="s">
        <v>132</v>
      </c>
      <c r="B3" s="111"/>
      <c r="C3" s="111"/>
      <c r="D3" s="111"/>
      <c r="E3" s="264" t="s">
        <v>51</v>
      </c>
      <c r="F3" s="264"/>
      <c r="G3" s="58" t="s">
        <v>19</v>
      </c>
      <c r="H3" s="59"/>
    </row>
    <row r="4" spans="1:8" ht="15.75" customHeight="1">
      <c r="A4" s="115" t="s">
        <v>147</v>
      </c>
      <c r="B4" s="112"/>
      <c r="C4" s="112"/>
      <c r="D4" s="112"/>
      <c r="E4" s="191" t="s">
        <v>150</v>
      </c>
      <c r="F4" s="191" t="s">
        <v>151</v>
      </c>
      <c r="G4" s="57" t="s">
        <v>188</v>
      </c>
      <c r="H4" s="57"/>
    </row>
    <row r="5" spans="1:8" ht="15.75" customHeight="1">
      <c r="A5" s="272" t="s">
        <v>152</v>
      </c>
      <c r="B5" s="273"/>
      <c r="C5" s="273"/>
      <c r="D5" s="274"/>
      <c r="E5" s="277" t="s">
        <v>9</v>
      </c>
      <c r="F5" s="278"/>
      <c r="G5" s="278"/>
      <c r="H5" s="279"/>
    </row>
    <row r="6" spans="1:8" ht="15.75" customHeight="1">
      <c r="A6" s="272" t="s">
        <v>148</v>
      </c>
      <c r="B6" s="273"/>
      <c r="C6" s="273"/>
      <c r="D6" s="274"/>
      <c r="E6" s="288" t="s">
        <v>5</v>
      </c>
      <c r="F6" s="286" t="s">
        <v>3</v>
      </c>
      <c r="G6" s="7" t="s">
        <v>20</v>
      </c>
      <c r="H6" s="6" t="s">
        <v>4</v>
      </c>
    </row>
    <row r="7" spans="1:8" ht="15.75" customHeight="1">
      <c r="A7" s="272" t="s">
        <v>149</v>
      </c>
      <c r="B7" s="275"/>
      <c r="C7" s="275"/>
      <c r="D7" s="276"/>
      <c r="E7" s="289"/>
      <c r="F7" s="287"/>
      <c r="G7" s="56" t="s">
        <v>6</v>
      </c>
      <c r="H7" s="190">
        <v>0.3064</v>
      </c>
    </row>
    <row r="8" spans="1:8" ht="38.25">
      <c r="A8" s="63" t="s">
        <v>0</v>
      </c>
      <c r="B8" s="63" t="s">
        <v>2</v>
      </c>
      <c r="C8" s="63" t="s">
        <v>1</v>
      </c>
      <c r="D8" s="64" t="s">
        <v>24</v>
      </c>
      <c r="E8" s="64" t="s">
        <v>25</v>
      </c>
      <c r="F8" s="65" t="s">
        <v>12</v>
      </c>
      <c r="G8" s="65" t="s">
        <v>13</v>
      </c>
      <c r="H8" s="65" t="s">
        <v>7</v>
      </c>
    </row>
    <row r="9" spans="1:8" ht="10.5" customHeight="1">
      <c r="A9" s="108">
        <v>1</v>
      </c>
      <c r="B9" s="178"/>
      <c r="C9" s="123" t="s">
        <v>22</v>
      </c>
      <c r="D9" s="60"/>
      <c r="E9" s="61"/>
      <c r="F9" s="61"/>
      <c r="G9" s="107">
        <f>ROUND(F9+(F9*$H$7),2)</f>
        <v>0</v>
      </c>
      <c r="H9" s="114"/>
    </row>
    <row r="10" spans="1:11" ht="10.5" customHeight="1">
      <c r="A10" s="9" t="s">
        <v>14</v>
      </c>
      <c r="B10" s="178" t="s">
        <v>52</v>
      </c>
      <c r="C10" s="106" t="s">
        <v>58</v>
      </c>
      <c r="D10" s="134" t="s">
        <v>53</v>
      </c>
      <c r="E10" s="135">
        <f>MEMÓRIA!O8</f>
        <v>2</v>
      </c>
      <c r="F10" s="184">
        <v>700</v>
      </c>
      <c r="G10" s="186">
        <f>ROUND(F10+(F10*$H$7),2)</f>
        <v>914.48</v>
      </c>
      <c r="H10" s="186">
        <f>ROUND((E10*G10),2)</f>
        <v>1828.96</v>
      </c>
      <c r="J10" s="130">
        <f>H10/H41*100</f>
        <v>1.9948222922394594</v>
      </c>
      <c r="K10" s="131" t="s">
        <v>53</v>
      </c>
    </row>
    <row r="11" spans="1:12" ht="35.25" customHeight="1">
      <c r="A11" s="9" t="s">
        <v>15</v>
      </c>
      <c r="B11" s="179" t="s">
        <v>119</v>
      </c>
      <c r="C11" s="109" t="s">
        <v>125</v>
      </c>
      <c r="D11" s="136" t="s">
        <v>23</v>
      </c>
      <c r="E11" s="135">
        <v>2</v>
      </c>
      <c r="F11" s="145">
        <v>305.36</v>
      </c>
      <c r="G11" s="186">
        <f>ROUND(F11+(F11*$H$7),2)</f>
        <v>398.92</v>
      </c>
      <c r="H11" s="186">
        <f>ROUND((E11*G11),2)</f>
        <v>797.84</v>
      </c>
      <c r="I11" s="127">
        <f>SUM(H10:H11)</f>
        <v>2626.8</v>
      </c>
      <c r="J11" s="132">
        <v>0.02</v>
      </c>
      <c r="K11" s="133">
        <f>H41*J11</f>
        <v>1833.7071999999998</v>
      </c>
      <c r="L11" s="113"/>
    </row>
    <row r="12" spans="1:9" ht="10.5" customHeight="1">
      <c r="A12" s="116">
        <v>2</v>
      </c>
      <c r="B12" s="180"/>
      <c r="C12" s="118" t="s">
        <v>68</v>
      </c>
      <c r="D12" s="141"/>
      <c r="E12" s="135">
        <f>MEMÓRIA!O10</f>
        <v>0</v>
      </c>
      <c r="F12" s="185"/>
      <c r="G12" s="187"/>
      <c r="H12" s="188"/>
      <c r="I12" s="128"/>
    </row>
    <row r="13" spans="1:9" ht="10.5" customHeight="1">
      <c r="A13" s="117" t="s">
        <v>16</v>
      </c>
      <c r="B13" s="180"/>
      <c r="C13" s="110" t="s">
        <v>69</v>
      </c>
      <c r="D13" s="120"/>
      <c r="E13" s="135">
        <f>MEMÓRIA!O11</f>
        <v>0</v>
      </c>
      <c r="F13" s="185"/>
      <c r="G13" s="187"/>
      <c r="H13" s="188"/>
      <c r="I13" s="128"/>
    </row>
    <row r="14" spans="1:9" ht="33.75">
      <c r="A14" s="117" t="s">
        <v>60</v>
      </c>
      <c r="B14" s="8" t="s">
        <v>141</v>
      </c>
      <c r="C14" s="183" t="s">
        <v>142</v>
      </c>
      <c r="D14" s="120" t="s">
        <v>143</v>
      </c>
      <c r="E14" s="135">
        <f>MEMÓRIA!O12</f>
        <v>4</v>
      </c>
      <c r="F14" s="145">
        <v>69.59</v>
      </c>
      <c r="G14" s="186">
        <f>ROUND(F14+(F14*$H$7),2)</f>
        <v>90.91</v>
      </c>
      <c r="H14" s="186">
        <f>ROUND((E14*G14),2)</f>
        <v>363.64</v>
      </c>
      <c r="I14" s="128"/>
    </row>
    <row r="15" spans="1:9" ht="22.5">
      <c r="A15" s="117" t="s">
        <v>61</v>
      </c>
      <c r="B15" s="180" t="s">
        <v>138</v>
      </c>
      <c r="C15" s="110" t="s">
        <v>139</v>
      </c>
      <c r="D15" s="120" t="s">
        <v>86</v>
      </c>
      <c r="E15" s="182">
        <f>MEMÓRIA!O13</f>
        <v>47.74</v>
      </c>
      <c r="F15" s="145">
        <v>9.66</v>
      </c>
      <c r="G15" s="186">
        <f aca="true" t="shared" si="0" ref="G15:G38">ROUND(F15+(F15*$H$7),2)</f>
        <v>12.62</v>
      </c>
      <c r="H15" s="186">
        <f aca="true" t="shared" si="1" ref="H15:H38">ROUND((E15*G15),2)</f>
        <v>602.48</v>
      </c>
      <c r="I15" s="128"/>
    </row>
    <row r="16" spans="1:9" ht="10.5" customHeight="1">
      <c r="A16" s="117" t="s">
        <v>62</v>
      </c>
      <c r="B16" s="180" t="s">
        <v>136</v>
      </c>
      <c r="C16" s="106" t="s">
        <v>118</v>
      </c>
      <c r="D16" s="120" t="s">
        <v>86</v>
      </c>
      <c r="E16" s="135">
        <f>MEMÓRIA!O14</f>
        <v>47.74</v>
      </c>
      <c r="F16" s="145">
        <v>6.74</v>
      </c>
      <c r="G16" s="186">
        <f t="shared" si="0"/>
        <v>8.81</v>
      </c>
      <c r="H16" s="186">
        <f t="shared" si="1"/>
        <v>420.59</v>
      </c>
      <c r="I16" s="128"/>
    </row>
    <row r="17" spans="1:9" ht="10.5" customHeight="1">
      <c r="A17" s="117" t="s">
        <v>63</v>
      </c>
      <c r="B17" s="180" t="s">
        <v>180</v>
      </c>
      <c r="C17" s="196" t="s">
        <v>181</v>
      </c>
      <c r="D17" s="120" t="s">
        <v>86</v>
      </c>
      <c r="E17" s="135">
        <f>MEMÓRIA!O15</f>
        <v>2.7199999999999998</v>
      </c>
      <c r="F17" s="145">
        <v>123.46</v>
      </c>
      <c r="G17" s="186">
        <f>ROUND(F17+(F17*$H$7),2)</f>
        <v>161.29</v>
      </c>
      <c r="H17" s="186">
        <f>ROUND((E17*G17),2)</f>
        <v>438.71</v>
      </c>
      <c r="I17" s="128"/>
    </row>
    <row r="18" spans="1:9" ht="10.5" customHeight="1">
      <c r="A18" s="117" t="s">
        <v>64</v>
      </c>
      <c r="B18" s="180" t="s">
        <v>168</v>
      </c>
      <c r="C18" s="106" t="s">
        <v>169</v>
      </c>
      <c r="D18" s="120" t="s">
        <v>24</v>
      </c>
      <c r="E18" s="135">
        <f>MEMÓRIA!O16</f>
        <v>80</v>
      </c>
      <c r="F18" s="145">
        <v>77.6</v>
      </c>
      <c r="G18" s="186">
        <f t="shared" si="0"/>
        <v>101.38</v>
      </c>
      <c r="H18" s="186">
        <f t="shared" si="1"/>
        <v>8110.4</v>
      </c>
      <c r="I18" s="128"/>
    </row>
    <row r="19" spans="1:9" ht="22.5">
      <c r="A19" s="117" t="s">
        <v>182</v>
      </c>
      <c r="B19" s="180" t="s">
        <v>153</v>
      </c>
      <c r="C19" s="110" t="s">
        <v>166</v>
      </c>
      <c r="D19" s="120" t="s">
        <v>88</v>
      </c>
      <c r="E19" s="135">
        <f>MEMÓRIA!O17</f>
        <v>9</v>
      </c>
      <c r="F19" s="145">
        <v>394.08</v>
      </c>
      <c r="G19" s="186">
        <f>ROUND(F19+(F19*$H$7),2)</f>
        <v>514.83</v>
      </c>
      <c r="H19" s="186">
        <f>ROUND((E19*G19),2)</f>
        <v>4633.47</v>
      </c>
      <c r="I19" s="128"/>
    </row>
    <row r="20" spans="1:10" ht="10.5" customHeight="1">
      <c r="A20" s="117" t="s">
        <v>183</v>
      </c>
      <c r="B20" s="180" t="s">
        <v>167</v>
      </c>
      <c r="C20" s="192" t="s">
        <v>170</v>
      </c>
      <c r="D20" s="120" t="s">
        <v>87</v>
      </c>
      <c r="E20" s="135">
        <f>MEMÓRIA!O18</f>
        <v>236.74</v>
      </c>
      <c r="F20" s="145">
        <v>11.73</v>
      </c>
      <c r="G20" s="186">
        <f>ROUND(F20+(F20*$H$7),2)</f>
        <v>15.32</v>
      </c>
      <c r="H20" s="186">
        <f>ROUND((E20*G20),2)</f>
        <v>3626.86</v>
      </c>
      <c r="I20" s="128"/>
      <c r="J20" s="195"/>
    </row>
    <row r="21" spans="1:9" ht="10.5" customHeight="1">
      <c r="A21" s="117" t="s">
        <v>65</v>
      </c>
      <c r="B21" s="180" t="s">
        <v>129</v>
      </c>
      <c r="C21" s="110" t="s">
        <v>70</v>
      </c>
      <c r="D21" s="120" t="s">
        <v>23</v>
      </c>
      <c r="E21" s="135">
        <f>MEMÓRIA!O19</f>
        <v>52.29</v>
      </c>
      <c r="F21" s="145">
        <v>54.34</v>
      </c>
      <c r="G21" s="186">
        <f t="shared" si="0"/>
        <v>70.99</v>
      </c>
      <c r="H21" s="186">
        <f t="shared" si="1"/>
        <v>3712.07</v>
      </c>
      <c r="I21" s="128"/>
    </row>
    <row r="22" spans="1:9" ht="10.5" customHeight="1">
      <c r="A22" s="117" t="s">
        <v>66</v>
      </c>
      <c r="B22" s="180" t="s">
        <v>130</v>
      </c>
      <c r="C22" s="110" t="s">
        <v>71</v>
      </c>
      <c r="D22" s="120" t="s">
        <v>87</v>
      </c>
      <c r="E22" s="135">
        <f>MEMÓRIA!O20</f>
        <v>243.53000000000003</v>
      </c>
      <c r="F22" s="145">
        <v>11.17</v>
      </c>
      <c r="G22" s="186">
        <f t="shared" si="0"/>
        <v>14.59</v>
      </c>
      <c r="H22" s="186">
        <f t="shared" si="1"/>
        <v>3553.1</v>
      </c>
      <c r="I22" s="128"/>
    </row>
    <row r="23" spans="1:9" ht="22.5">
      <c r="A23" s="117" t="s">
        <v>67</v>
      </c>
      <c r="B23" s="180" t="s">
        <v>131</v>
      </c>
      <c r="C23" s="110" t="s">
        <v>72</v>
      </c>
      <c r="D23" s="120" t="s">
        <v>86</v>
      </c>
      <c r="E23" s="135">
        <f>MEMÓRIA!O21</f>
        <v>11.43</v>
      </c>
      <c r="F23" s="145">
        <v>732.8</v>
      </c>
      <c r="G23" s="186">
        <f t="shared" si="0"/>
        <v>957.33</v>
      </c>
      <c r="H23" s="186">
        <f t="shared" si="1"/>
        <v>10942.28</v>
      </c>
      <c r="I23" s="128"/>
    </row>
    <row r="24" spans="1:9" ht="10.5" customHeight="1">
      <c r="A24" s="117" t="s">
        <v>140</v>
      </c>
      <c r="B24" s="181" t="s">
        <v>122</v>
      </c>
      <c r="C24" s="119" t="s">
        <v>73</v>
      </c>
      <c r="D24" s="141" t="s">
        <v>86</v>
      </c>
      <c r="E24" s="135">
        <f>MEMÓRIA!O22</f>
        <v>4.91</v>
      </c>
      <c r="F24" s="145">
        <v>37.8</v>
      </c>
      <c r="G24" s="186">
        <f t="shared" si="0"/>
        <v>49.38</v>
      </c>
      <c r="H24" s="186">
        <f t="shared" si="1"/>
        <v>242.46</v>
      </c>
      <c r="I24" s="127">
        <f>SUM(H14:H24)</f>
        <v>36646.06</v>
      </c>
    </row>
    <row r="25" spans="1:9" ht="10.5" customHeight="1">
      <c r="A25" s="117" t="s">
        <v>104</v>
      </c>
      <c r="B25" s="180"/>
      <c r="C25" s="110" t="s">
        <v>74</v>
      </c>
      <c r="D25" s="120"/>
      <c r="E25" s="135"/>
      <c r="F25" s="145"/>
      <c r="G25" s="186"/>
      <c r="H25" s="186"/>
      <c r="I25" s="128"/>
    </row>
    <row r="26" spans="1:9" ht="22.5">
      <c r="A26" s="117" t="s">
        <v>105</v>
      </c>
      <c r="B26" s="180" t="s">
        <v>120</v>
      </c>
      <c r="C26" s="110" t="s">
        <v>75</v>
      </c>
      <c r="D26" s="120" t="s">
        <v>88</v>
      </c>
      <c r="E26" s="135">
        <f>MEMÓRIA!O24</f>
        <v>4.8</v>
      </c>
      <c r="F26" s="145">
        <v>107.66</v>
      </c>
      <c r="G26" s="186">
        <f t="shared" si="0"/>
        <v>140.65</v>
      </c>
      <c r="H26" s="186">
        <f t="shared" si="1"/>
        <v>675.12</v>
      </c>
      <c r="I26" s="128"/>
    </row>
    <row r="27" spans="1:9" ht="10.5" customHeight="1">
      <c r="A27" s="117" t="s">
        <v>106</v>
      </c>
      <c r="B27" s="180"/>
      <c r="C27" s="110" t="s">
        <v>76</v>
      </c>
      <c r="D27" s="120"/>
      <c r="E27" s="135"/>
      <c r="F27" s="145"/>
      <c r="G27" s="186"/>
      <c r="H27" s="186"/>
      <c r="I27" s="128"/>
    </row>
    <row r="28" spans="1:9" ht="33.75">
      <c r="A28" s="117" t="s">
        <v>107</v>
      </c>
      <c r="B28" s="180" t="s">
        <v>121</v>
      </c>
      <c r="C28" s="110" t="s">
        <v>77</v>
      </c>
      <c r="D28" s="120" t="s">
        <v>87</v>
      </c>
      <c r="E28" s="135">
        <f>MEMÓRIA!O26</f>
        <v>1104</v>
      </c>
      <c r="F28" s="145">
        <v>25.38</v>
      </c>
      <c r="G28" s="186">
        <f t="shared" si="0"/>
        <v>33.16</v>
      </c>
      <c r="H28" s="186">
        <f t="shared" si="1"/>
        <v>36608.64</v>
      </c>
      <c r="I28" s="128"/>
    </row>
    <row r="29" spans="1:9" ht="33.75">
      <c r="A29" s="117" t="s">
        <v>108</v>
      </c>
      <c r="B29" s="180" t="s">
        <v>121</v>
      </c>
      <c r="C29" s="110" t="s">
        <v>78</v>
      </c>
      <c r="D29" s="120" t="s">
        <v>87</v>
      </c>
      <c r="E29" s="135">
        <f>MEMÓRIA!O27</f>
        <v>120.42</v>
      </c>
      <c r="F29" s="145">
        <f>F28</f>
        <v>25.38</v>
      </c>
      <c r="G29" s="186">
        <f t="shared" si="0"/>
        <v>33.16</v>
      </c>
      <c r="H29" s="186">
        <f t="shared" si="1"/>
        <v>3993.13</v>
      </c>
      <c r="I29" s="128"/>
    </row>
    <row r="30" spans="1:9" ht="10.5" customHeight="1">
      <c r="A30" s="117" t="s">
        <v>109</v>
      </c>
      <c r="B30" s="180" t="s">
        <v>121</v>
      </c>
      <c r="C30" s="110" t="s">
        <v>79</v>
      </c>
      <c r="D30" s="120" t="s">
        <v>87</v>
      </c>
      <c r="E30" s="135">
        <f>MEMÓRIA!O28</f>
        <v>41.47</v>
      </c>
      <c r="F30" s="145">
        <f>F28</f>
        <v>25.38</v>
      </c>
      <c r="G30" s="186">
        <f t="shared" si="0"/>
        <v>33.16</v>
      </c>
      <c r="H30" s="186">
        <f t="shared" si="1"/>
        <v>1375.15</v>
      </c>
      <c r="I30" s="128"/>
    </row>
    <row r="31" spans="1:9" ht="10.5" customHeight="1">
      <c r="A31" s="117" t="s">
        <v>110</v>
      </c>
      <c r="B31" s="180"/>
      <c r="C31" s="110" t="s">
        <v>80</v>
      </c>
      <c r="D31" s="120"/>
      <c r="E31" s="135"/>
      <c r="F31" s="145"/>
      <c r="G31" s="186"/>
      <c r="H31" s="186"/>
      <c r="I31" s="128"/>
    </row>
    <row r="32" spans="1:9" ht="10.5" customHeight="1">
      <c r="A32" s="117" t="s">
        <v>111</v>
      </c>
      <c r="B32" s="180" t="str">
        <f>B28</f>
        <v>ED-49664</v>
      </c>
      <c r="C32" s="110" t="s">
        <v>70</v>
      </c>
      <c r="D32" s="120" t="s">
        <v>23</v>
      </c>
      <c r="E32" s="135">
        <f>MEMÓRIA!O30</f>
        <v>2.83</v>
      </c>
      <c r="F32" s="145">
        <f>F21</f>
        <v>54.34</v>
      </c>
      <c r="G32" s="186">
        <f t="shared" si="0"/>
        <v>70.99</v>
      </c>
      <c r="H32" s="186">
        <f t="shared" si="1"/>
        <v>200.9</v>
      </c>
      <c r="I32" s="128"/>
    </row>
    <row r="33" spans="1:9" ht="10.5" customHeight="1">
      <c r="A33" s="117" t="s">
        <v>112</v>
      </c>
      <c r="B33" s="180" t="str">
        <f>B29</f>
        <v>ED-49664</v>
      </c>
      <c r="C33" s="110" t="s">
        <v>71</v>
      </c>
      <c r="D33" s="120" t="s">
        <v>87</v>
      </c>
      <c r="E33" s="135">
        <f>MEMÓRIA!O31</f>
        <v>84.32</v>
      </c>
      <c r="F33" s="145">
        <f>F22</f>
        <v>11.17</v>
      </c>
      <c r="G33" s="186">
        <f t="shared" si="0"/>
        <v>14.59</v>
      </c>
      <c r="H33" s="186">
        <f t="shared" si="1"/>
        <v>1230.23</v>
      </c>
      <c r="I33" s="128"/>
    </row>
    <row r="34" spans="1:9" ht="22.5">
      <c r="A34" s="117" t="s">
        <v>113</v>
      </c>
      <c r="B34" s="180" t="s">
        <v>131</v>
      </c>
      <c r="C34" s="110" t="s">
        <v>81</v>
      </c>
      <c r="D34" s="120" t="s">
        <v>86</v>
      </c>
      <c r="E34" s="135">
        <f>MEMÓRIA!O32</f>
        <v>0.47</v>
      </c>
      <c r="F34" s="145">
        <f>F23</f>
        <v>732.8</v>
      </c>
      <c r="G34" s="186">
        <f t="shared" si="0"/>
        <v>957.33</v>
      </c>
      <c r="H34" s="186">
        <f t="shared" si="1"/>
        <v>449.95</v>
      </c>
      <c r="I34" s="128"/>
    </row>
    <row r="35" spans="1:9" ht="10.5" customHeight="1">
      <c r="A35" s="117" t="s">
        <v>114</v>
      </c>
      <c r="B35" s="180"/>
      <c r="C35" s="110" t="s">
        <v>82</v>
      </c>
      <c r="D35" s="120"/>
      <c r="E35" s="135">
        <f>MEMÓRIA!O33</f>
        <v>0</v>
      </c>
      <c r="F35" s="145"/>
      <c r="G35" s="186">
        <f t="shared" si="0"/>
        <v>0</v>
      </c>
      <c r="H35" s="186"/>
      <c r="I35" s="128"/>
    </row>
    <row r="36" spans="1:9" ht="10.5" customHeight="1">
      <c r="A36" s="117" t="s">
        <v>115</v>
      </c>
      <c r="B36" s="180" t="str">
        <f>B32</f>
        <v>ED-49664</v>
      </c>
      <c r="C36" s="110" t="s">
        <v>70</v>
      </c>
      <c r="D36" s="120" t="s">
        <v>23</v>
      </c>
      <c r="E36" s="135">
        <f>MEMÓRIA!O34</f>
        <v>21.64</v>
      </c>
      <c r="F36" s="145">
        <f>F32</f>
        <v>54.34</v>
      </c>
      <c r="G36" s="186">
        <f t="shared" si="0"/>
        <v>70.99</v>
      </c>
      <c r="H36" s="186">
        <f t="shared" si="1"/>
        <v>1536.22</v>
      </c>
      <c r="I36" s="128"/>
    </row>
    <row r="37" spans="1:9" ht="10.5" customHeight="1">
      <c r="A37" s="117" t="s">
        <v>116</v>
      </c>
      <c r="B37" s="180" t="str">
        <f>B33</f>
        <v>ED-49664</v>
      </c>
      <c r="C37" s="110" t="s">
        <v>71</v>
      </c>
      <c r="D37" s="120" t="s">
        <v>87</v>
      </c>
      <c r="E37" s="135">
        <f>MEMÓRIA!O35</f>
        <v>242.63000000000002</v>
      </c>
      <c r="F37" s="145">
        <f>F33</f>
        <v>11.17</v>
      </c>
      <c r="G37" s="186">
        <f t="shared" si="0"/>
        <v>14.59</v>
      </c>
      <c r="H37" s="186">
        <f t="shared" si="1"/>
        <v>3539.97</v>
      </c>
      <c r="I37" s="128"/>
    </row>
    <row r="38" spans="1:9" ht="22.5">
      <c r="A38" s="117" t="s">
        <v>117</v>
      </c>
      <c r="B38" s="180" t="str">
        <f>B34</f>
        <v>ED-49630</v>
      </c>
      <c r="C38" s="110" t="s">
        <v>72</v>
      </c>
      <c r="D38" s="120" t="s">
        <v>86</v>
      </c>
      <c r="E38" s="135">
        <f>MEMÓRIA!O36</f>
        <v>2.79</v>
      </c>
      <c r="F38" s="145">
        <f>F23</f>
        <v>732.8</v>
      </c>
      <c r="G38" s="186">
        <f t="shared" si="0"/>
        <v>957.33</v>
      </c>
      <c r="H38" s="186">
        <f t="shared" si="1"/>
        <v>2670.95</v>
      </c>
      <c r="I38" s="127">
        <f>SUM(H26:H38)</f>
        <v>52280.26</v>
      </c>
    </row>
    <row r="39" spans="1:9" ht="10.5" customHeight="1">
      <c r="A39" s="116">
        <v>3</v>
      </c>
      <c r="B39" s="180"/>
      <c r="C39" s="142" t="s">
        <v>83</v>
      </c>
      <c r="D39" s="141"/>
      <c r="E39" s="135"/>
      <c r="F39" s="145"/>
      <c r="G39" s="186"/>
      <c r="H39" s="186"/>
      <c r="I39" s="128"/>
    </row>
    <row r="40" spans="1:9" ht="10.5" customHeight="1">
      <c r="A40" s="117" t="s">
        <v>59</v>
      </c>
      <c r="B40" s="180" t="s">
        <v>123</v>
      </c>
      <c r="C40" s="110" t="s">
        <v>84</v>
      </c>
      <c r="D40" s="141" t="s">
        <v>23</v>
      </c>
      <c r="E40" s="135">
        <f>MEMÓRIA!O38</f>
        <v>15.43</v>
      </c>
      <c r="F40" s="145">
        <v>6.56</v>
      </c>
      <c r="G40" s="186">
        <f>ROUND(F40+(F40*$H$7),2)</f>
        <v>8.57</v>
      </c>
      <c r="H40" s="186">
        <f>ROUND((E40*G40),2)</f>
        <v>132.24</v>
      </c>
      <c r="I40" s="127">
        <f>H40</f>
        <v>132.24</v>
      </c>
    </row>
    <row r="41" spans="1:9" ht="10.5" customHeight="1">
      <c r="A41" s="269" t="s">
        <v>85</v>
      </c>
      <c r="B41" s="270"/>
      <c r="C41" s="270"/>
      <c r="D41" s="270"/>
      <c r="E41" s="270"/>
      <c r="F41" s="270"/>
      <c r="G41" s="271"/>
      <c r="H41" s="137">
        <f>SUM(H9:H40)</f>
        <v>91685.35999999999</v>
      </c>
      <c r="I41" s="129">
        <f>SUM(I11:I40)</f>
        <v>91685.36</v>
      </c>
    </row>
    <row r="42" spans="1:8" ht="10.5" customHeight="1">
      <c r="A42" s="121"/>
      <c r="B42" s="121"/>
      <c r="C42" s="121"/>
      <c r="D42" s="121"/>
      <c r="E42" s="121"/>
      <c r="F42" s="121"/>
      <c r="G42" s="121"/>
      <c r="H42" s="122"/>
    </row>
    <row r="43" spans="1:8" ht="10.5" customHeight="1">
      <c r="A43" s="121"/>
      <c r="B43" s="121"/>
      <c r="C43" s="121"/>
      <c r="D43" s="121"/>
      <c r="E43" s="121"/>
      <c r="F43" s="121"/>
      <c r="G43" s="121"/>
      <c r="H43" s="122"/>
    </row>
    <row r="44" spans="1:8" ht="10.5" customHeight="1">
      <c r="A44" s="2"/>
      <c r="B44" s="267" t="s">
        <v>17</v>
      </c>
      <c r="C44" s="268"/>
      <c r="D44" s="2"/>
      <c r="E44" s="284" t="s">
        <v>18</v>
      </c>
      <c r="F44" s="285"/>
      <c r="G44" s="3"/>
      <c r="H44" s="2"/>
    </row>
    <row r="45" spans="1:8" ht="10.5" customHeight="1">
      <c r="A45" s="4"/>
      <c r="B45" s="265" t="s">
        <v>10</v>
      </c>
      <c r="C45" s="265"/>
      <c r="D45" s="4"/>
      <c r="E45" s="266" t="s">
        <v>8</v>
      </c>
      <c r="F45" s="266"/>
      <c r="G45" s="5"/>
      <c r="H45" s="4"/>
    </row>
    <row r="46" spans="1:8" ht="10.5" customHeight="1">
      <c r="A46" s="4"/>
      <c r="B46" s="5"/>
      <c r="C46" s="5"/>
      <c r="D46" s="4"/>
      <c r="E46" s="5"/>
      <c r="F46" s="5"/>
      <c r="G46" s="5"/>
      <c r="H46" s="4"/>
    </row>
    <row r="47" spans="1:8" ht="10.5" customHeight="1">
      <c r="A47" s="2"/>
      <c r="B47" s="267" t="s">
        <v>21</v>
      </c>
      <c r="C47" s="268"/>
      <c r="D47" s="2"/>
      <c r="E47" s="263"/>
      <c r="F47" s="263"/>
      <c r="G47" s="3"/>
      <c r="H47" s="2"/>
    </row>
    <row r="48" spans="1:8" ht="10.5" customHeight="1">
      <c r="A48" s="4"/>
      <c r="B48" s="265" t="s">
        <v>11</v>
      </c>
      <c r="C48" s="265"/>
      <c r="D48" s="4"/>
      <c r="E48" s="266"/>
      <c r="F48" s="266"/>
      <c r="G48" s="5"/>
      <c r="H48" s="4"/>
    </row>
    <row r="49" ht="4.5" customHeight="1"/>
    <row r="51" spans="7:8" ht="12.75">
      <c r="G51" s="143"/>
      <c r="H51" s="144"/>
    </row>
    <row r="100" spans="7:8" ht="12.75">
      <c r="G100" s="89" t="s">
        <v>56</v>
      </c>
      <c r="H100" s="62">
        <f>150000</f>
        <v>150000</v>
      </c>
    </row>
    <row r="101" spans="7:8" ht="12.75">
      <c r="G101" s="89" t="s">
        <v>57</v>
      </c>
      <c r="H101" s="62" t="e">
        <f>#REF!-H100</f>
        <v>#REF!</v>
      </c>
    </row>
    <row r="102" spans="7:8" ht="12.75">
      <c r="G102" s="91" t="s">
        <v>53</v>
      </c>
      <c r="H102" s="90" t="e">
        <f>H101/H100*100</f>
        <v>#REF!</v>
      </c>
    </row>
  </sheetData>
  <sheetProtection/>
  <mergeCells count="19">
    <mergeCell ref="A2:H2"/>
    <mergeCell ref="C1:H1"/>
    <mergeCell ref="A1:B1"/>
    <mergeCell ref="B45:C45"/>
    <mergeCell ref="E45:F45"/>
    <mergeCell ref="E44:F44"/>
    <mergeCell ref="F6:F7"/>
    <mergeCell ref="E6:E7"/>
    <mergeCell ref="A6:D6"/>
    <mergeCell ref="E5:H5"/>
    <mergeCell ref="E47:F47"/>
    <mergeCell ref="E3:F3"/>
    <mergeCell ref="B48:C48"/>
    <mergeCell ref="E48:F48"/>
    <mergeCell ref="B47:C47"/>
    <mergeCell ref="B44:C44"/>
    <mergeCell ref="A41:G41"/>
    <mergeCell ref="A5:D5"/>
    <mergeCell ref="A7:D7"/>
  </mergeCells>
  <printOptions horizontalCentered="1"/>
  <pageMargins left="0.1968503937007874" right="0.1968503937007874" top="0.1968503937007874" bottom="0.1968503937007874" header="0" footer="0"/>
  <pageSetup horizontalDpi="300" verticalDpi="3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M35"/>
  <sheetViews>
    <sheetView showGridLines="0" showZeros="0" view="pageBreakPreview" zoomScaleNormal="75" zoomScaleSheetLayoutView="100" zoomScalePageLayoutView="0" workbookViewId="0" topLeftCell="A1">
      <selection activeCell="A2" sqref="A2:K2"/>
    </sheetView>
  </sheetViews>
  <sheetFormatPr defaultColWidth="9.140625" defaultRowHeight="12.75"/>
  <cols>
    <col min="1" max="1" width="10.57421875" style="37" customWidth="1"/>
    <col min="2" max="2" width="10.28125" style="37" customWidth="1"/>
    <col min="3" max="3" width="39.7109375" style="37" customWidth="1"/>
    <col min="4" max="5" width="10.7109375" style="38" customWidth="1"/>
    <col min="6" max="10" width="10.7109375" style="37" customWidth="1"/>
    <col min="11" max="11" width="11.8515625" style="37" customWidth="1"/>
    <col min="12" max="12" width="9.140625" style="37" customWidth="1"/>
    <col min="13" max="13" width="10.140625" style="37" bestFit="1" customWidth="1"/>
    <col min="14" max="16384" width="9.140625" style="37" customWidth="1"/>
  </cols>
  <sheetData>
    <row r="1" spans="1:11" ht="55.5" customHeight="1">
      <c r="A1" s="69"/>
      <c r="B1" s="70"/>
      <c r="C1" s="70"/>
      <c r="D1" s="71"/>
      <c r="E1" s="71"/>
      <c r="F1" s="71"/>
      <c r="G1" s="71"/>
      <c r="H1" s="71"/>
      <c r="I1" s="70"/>
      <c r="J1" s="70"/>
      <c r="K1" s="72"/>
    </row>
    <row r="2" spans="1:11" ht="15.75" customHeight="1">
      <c r="A2" s="305" t="s">
        <v>32</v>
      </c>
      <c r="B2" s="305"/>
      <c r="C2" s="305"/>
      <c r="D2" s="305"/>
      <c r="E2" s="305"/>
      <c r="F2" s="305"/>
      <c r="G2" s="305"/>
      <c r="H2" s="305"/>
      <c r="I2" s="305"/>
      <c r="J2" s="305"/>
      <c r="K2" s="305"/>
    </row>
    <row r="3" spans="1:11" ht="15.75" customHeight="1">
      <c r="A3" s="306" t="str">
        <f>PLANILHA!A3:E3</f>
        <v>PREFEITURA MUNICIPAL DE SANTA CRUZ DO ESCALVADO</v>
      </c>
      <c r="B3" s="307"/>
      <c r="C3" s="308"/>
      <c r="D3" s="309" t="s">
        <v>33</v>
      </c>
      <c r="E3" s="310"/>
      <c r="F3" s="311">
        <f>PLANILHA!H41</f>
        <v>91685.35999999999</v>
      </c>
      <c r="G3" s="311"/>
      <c r="H3" s="197"/>
      <c r="I3" s="312" t="str">
        <f>PLANILHA!G4</f>
        <v>DATA: 04/03/24</v>
      </c>
      <c r="J3" s="312"/>
      <c r="K3" s="312"/>
    </row>
    <row r="4" spans="1:11" ht="27.75" customHeight="1">
      <c r="A4" s="313" t="str">
        <f>PLANILHA!A4:E4</f>
        <v>OBRA: Execução de ponte mista em estrutura de concreto armado e vigas metálicos</v>
      </c>
      <c r="B4" s="314"/>
      <c r="C4" s="315"/>
      <c r="D4" s="314" t="str">
        <f>PLANILHA!A5</f>
        <v>LOCAL: Córrego Charnecão, Rua Aniceto de Barros, Bairro Centro, Município de Santa Cruz do Escalvado.</v>
      </c>
      <c r="E4" s="314"/>
      <c r="F4" s="314"/>
      <c r="G4" s="314"/>
      <c r="H4" s="314"/>
      <c r="I4" s="316" t="str">
        <f>PLANILHA!A7</f>
        <v>PRAZO DE EXECUÇÃO: 03 (três) meses</v>
      </c>
      <c r="J4" s="317"/>
      <c r="K4" s="318"/>
    </row>
    <row r="5" spans="1:11" ht="36" customHeight="1">
      <c r="A5" s="66" t="s">
        <v>0</v>
      </c>
      <c r="B5" s="66" t="s">
        <v>2</v>
      </c>
      <c r="C5" s="67" t="s">
        <v>34</v>
      </c>
      <c r="D5" s="68" t="s">
        <v>35</v>
      </c>
      <c r="E5" s="68" t="s">
        <v>36</v>
      </c>
      <c r="F5" s="66" t="s">
        <v>37</v>
      </c>
      <c r="G5" s="66" t="s">
        <v>38</v>
      </c>
      <c r="H5" s="66" t="s">
        <v>39</v>
      </c>
      <c r="I5" s="66" t="s">
        <v>40</v>
      </c>
      <c r="J5" s="66" t="s">
        <v>41</v>
      </c>
      <c r="K5" s="66" t="s">
        <v>42</v>
      </c>
    </row>
    <row r="6" spans="1:13" ht="14.25" customHeight="1">
      <c r="A6" s="303">
        <f>PLANILHA!A9</f>
        <v>1</v>
      </c>
      <c r="B6" s="303"/>
      <c r="C6" s="302" t="str">
        <f>PLANILHA!C9</f>
        <v>SERVIÇOS PRELIMINARES</v>
      </c>
      <c r="D6" s="92" t="s">
        <v>43</v>
      </c>
      <c r="E6" s="88">
        <f>E7/E27</f>
        <v>0.028650157451527703</v>
      </c>
      <c r="F6" s="88">
        <v>1</v>
      </c>
      <c r="G6" s="88"/>
      <c r="H6" s="88"/>
      <c r="I6" s="87"/>
      <c r="J6" s="88"/>
      <c r="K6" s="88"/>
      <c r="M6" s="140"/>
    </row>
    <row r="7" spans="1:13" ht="14.25" customHeight="1">
      <c r="A7" s="303"/>
      <c r="B7" s="303"/>
      <c r="C7" s="302"/>
      <c r="D7" s="93" t="s">
        <v>44</v>
      </c>
      <c r="E7" s="94">
        <f>PLANILHA!$I$11</f>
        <v>2626.8</v>
      </c>
      <c r="F7" s="94">
        <f aca="true" t="shared" si="0" ref="F7:K7">F6*$E$7</f>
        <v>2626.8</v>
      </c>
      <c r="G7" s="94">
        <f t="shared" si="0"/>
        <v>0</v>
      </c>
      <c r="H7" s="94">
        <f t="shared" si="0"/>
        <v>0</v>
      </c>
      <c r="I7" s="94">
        <f t="shared" si="0"/>
        <v>0</v>
      </c>
      <c r="J7" s="94">
        <f t="shared" si="0"/>
        <v>0</v>
      </c>
      <c r="K7" s="94">
        <f t="shared" si="0"/>
        <v>0</v>
      </c>
      <c r="L7" s="139">
        <f>SUM(F7:K7)</f>
        <v>2626.8</v>
      </c>
      <c r="M7" s="139">
        <f>L7-E7</f>
        <v>0</v>
      </c>
    </row>
    <row r="8" spans="1:13" ht="14.25" customHeight="1">
      <c r="A8" s="303">
        <f>PLANILHA!A12</f>
        <v>2</v>
      </c>
      <c r="B8" s="303"/>
      <c r="C8" s="302" t="str">
        <f>PLANILHA!C12</f>
        <v>EXECUÇÃO DE PONTE MISTA</v>
      </c>
      <c r="D8" s="92" t="s">
        <v>43</v>
      </c>
      <c r="E8" s="88"/>
      <c r="F8" s="88"/>
      <c r="G8" s="88"/>
      <c r="H8" s="88"/>
      <c r="I8" s="87"/>
      <c r="J8" s="88"/>
      <c r="K8" s="88"/>
      <c r="L8" s="139"/>
      <c r="M8" s="139"/>
    </row>
    <row r="9" spans="1:13" ht="14.25" customHeight="1">
      <c r="A9" s="303"/>
      <c r="B9" s="303"/>
      <c r="C9" s="302"/>
      <c r="D9" s="93" t="s">
        <v>44</v>
      </c>
      <c r="E9" s="94"/>
      <c r="F9" s="94">
        <f>F8*$E$9</f>
        <v>0</v>
      </c>
      <c r="G9" s="94">
        <f>G8*$E$9</f>
        <v>0</v>
      </c>
      <c r="H9" s="94">
        <f>H8*$E$9</f>
        <v>0</v>
      </c>
      <c r="I9" s="94"/>
      <c r="J9" s="94"/>
      <c r="K9" s="94"/>
      <c r="L9" s="139">
        <f>SUM(F9:K9)</f>
        <v>0</v>
      </c>
      <c r="M9" s="139">
        <f aca="true" t="shared" si="1" ref="M9:M25">L9-E9</f>
        <v>0</v>
      </c>
    </row>
    <row r="10" spans="1:13" ht="14.25" customHeight="1">
      <c r="A10" s="303" t="str">
        <f>PLANILHA!A13</f>
        <v>2.1</v>
      </c>
      <c r="B10" s="303"/>
      <c r="C10" s="302" t="str">
        <f>PLANILHA!C13</f>
        <v>MESOESTRUTURA - ENCONTROS (2X)</v>
      </c>
      <c r="D10" s="92" t="s">
        <v>43</v>
      </c>
      <c r="E10" s="88">
        <f>E11/E27</f>
        <v>0.39969369155555473</v>
      </c>
      <c r="F10" s="88">
        <v>0.7</v>
      </c>
      <c r="G10" s="88">
        <v>0.3</v>
      </c>
      <c r="H10" s="88"/>
      <c r="I10" s="87"/>
      <c r="J10" s="88"/>
      <c r="K10" s="88"/>
      <c r="L10" s="139"/>
      <c r="M10" s="139"/>
    </row>
    <row r="11" spans="1:13" ht="14.25" customHeight="1">
      <c r="A11" s="303"/>
      <c r="B11" s="303"/>
      <c r="C11" s="302"/>
      <c r="D11" s="93" t="s">
        <v>44</v>
      </c>
      <c r="E11" s="94">
        <f>PLANILHA!$I$24</f>
        <v>36646.06</v>
      </c>
      <c r="F11" s="94">
        <f>F10*$E$11</f>
        <v>25652.242</v>
      </c>
      <c r="G11" s="94">
        <f>G10*$E$11</f>
        <v>10993.818</v>
      </c>
      <c r="H11" s="94">
        <f>H10*$E$11</f>
        <v>0</v>
      </c>
      <c r="I11" s="94"/>
      <c r="J11" s="94"/>
      <c r="K11" s="94">
        <f>K10*$E$11</f>
        <v>0</v>
      </c>
      <c r="L11" s="139">
        <f>SUM(F11:K11)</f>
        <v>36646.06</v>
      </c>
      <c r="M11" s="139">
        <f t="shared" si="1"/>
        <v>0</v>
      </c>
    </row>
    <row r="12" spans="1:13" ht="14.25" customHeight="1">
      <c r="A12" s="303" t="str">
        <f>PLANILHA!A25</f>
        <v>2.2</v>
      </c>
      <c r="B12" s="303"/>
      <c r="C12" s="302" t="str">
        <f>PLANILHA!C25</f>
        <v>SUPERESTRUTURA</v>
      </c>
      <c r="D12" s="92" t="s">
        <v>43</v>
      </c>
      <c r="E12" s="88">
        <f>E13/E27</f>
        <v>0.5702138269403098</v>
      </c>
      <c r="F12" s="53"/>
      <c r="G12" s="53">
        <v>0.7</v>
      </c>
      <c r="H12" s="53">
        <v>0.3</v>
      </c>
      <c r="I12" s="52"/>
      <c r="J12" s="53"/>
      <c r="K12" s="53"/>
      <c r="L12" s="139"/>
      <c r="M12" s="139"/>
    </row>
    <row r="13" spans="1:13" ht="14.25" customHeight="1">
      <c r="A13" s="303"/>
      <c r="B13" s="303"/>
      <c r="C13" s="302"/>
      <c r="D13" s="93" t="s">
        <v>44</v>
      </c>
      <c r="E13" s="97">
        <f>PLANILHA!$I$38</f>
        <v>52280.26</v>
      </c>
      <c r="F13" s="94">
        <f aca="true" t="shared" si="2" ref="F13:K13">F12*$E$13</f>
        <v>0</v>
      </c>
      <c r="G13" s="94">
        <f t="shared" si="2"/>
        <v>36596.182</v>
      </c>
      <c r="H13" s="94">
        <f t="shared" si="2"/>
        <v>15684.078</v>
      </c>
      <c r="I13" s="94">
        <f t="shared" si="2"/>
        <v>0</v>
      </c>
      <c r="J13" s="94">
        <f t="shared" si="2"/>
        <v>0</v>
      </c>
      <c r="K13" s="94">
        <f t="shared" si="2"/>
        <v>0</v>
      </c>
      <c r="L13" s="139">
        <f>SUM(F13:K13)</f>
        <v>52280.26</v>
      </c>
      <c r="M13" s="139">
        <f t="shared" si="1"/>
        <v>0</v>
      </c>
    </row>
    <row r="14" spans="1:13" ht="14.25" customHeight="1">
      <c r="A14" s="303">
        <f>PLANILHA!A39</f>
        <v>3</v>
      </c>
      <c r="B14" s="303"/>
      <c r="C14" s="302" t="str">
        <f>PLANILHA!C39</f>
        <v>LIMPEZA GERAL</v>
      </c>
      <c r="D14" s="92" t="s">
        <v>43</v>
      </c>
      <c r="E14" s="88">
        <f>E15/E27</f>
        <v>0.0014423240526077446</v>
      </c>
      <c r="F14" s="88"/>
      <c r="G14" s="88"/>
      <c r="H14" s="88">
        <v>1</v>
      </c>
      <c r="I14" s="87"/>
      <c r="J14" s="88"/>
      <c r="K14" s="88"/>
      <c r="L14" s="139"/>
      <c r="M14" s="139"/>
    </row>
    <row r="15" spans="1:13" ht="14.25" customHeight="1">
      <c r="A15" s="303"/>
      <c r="B15" s="303"/>
      <c r="C15" s="302"/>
      <c r="D15" s="93" t="s">
        <v>44</v>
      </c>
      <c r="E15" s="94">
        <f>PLANILHA!$I$40</f>
        <v>132.24</v>
      </c>
      <c r="F15" s="94">
        <f aca="true" t="shared" si="3" ref="F15:K15">F14*$E$15</f>
        <v>0</v>
      </c>
      <c r="G15" s="94">
        <f t="shared" si="3"/>
        <v>0</v>
      </c>
      <c r="H15" s="94">
        <f t="shared" si="3"/>
        <v>132.24</v>
      </c>
      <c r="I15" s="94">
        <f t="shared" si="3"/>
        <v>0</v>
      </c>
      <c r="J15" s="94">
        <f t="shared" si="3"/>
        <v>0</v>
      </c>
      <c r="K15" s="94">
        <f t="shared" si="3"/>
        <v>0</v>
      </c>
      <c r="L15" s="139">
        <f>SUM(F15:K15)</f>
        <v>132.24</v>
      </c>
      <c r="M15" s="139"/>
    </row>
    <row r="16" spans="1:13" ht="14.25" customHeight="1">
      <c r="A16" s="303"/>
      <c r="B16" s="303"/>
      <c r="C16" s="302"/>
      <c r="D16" s="92" t="s">
        <v>43</v>
      </c>
      <c r="E16" s="88"/>
      <c r="F16" s="88"/>
      <c r="G16" s="88"/>
      <c r="H16" s="88"/>
      <c r="I16" s="87"/>
      <c r="J16" s="88"/>
      <c r="K16" s="88"/>
      <c r="L16" s="139"/>
      <c r="M16" s="139"/>
    </row>
    <row r="17" spans="1:13" ht="14.25" customHeight="1">
      <c r="A17" s="303"/>
      <c r="B17" s="303"/>
      <c r="C17" s="302"/>
      <c r="D17" s="93" t="s">
        <v>44</v>
      </c>
      <c r="E17" s="94"/>
      <c r="F17" s="94">
        <f aca="true" t="shared" si="4" ref="F17:K17">F16*$E$17</f>
        <v>0</v>
      </c>
      <c r="G17" s="94">
        <f t="shared" si="4"/>
        <v>0</v>
      </c>
      <c r="H17" s="94">
        <f t="shared" si="4"/>
        <v>0</v>
      </c>
      <c r="I17" s="94">
        <f t="shared" si="4"/>
        <v>0</v>
      </c>
      <c r="J17" s="94">
        <f t="shared" si="4"/>
        <v>0</v>
      </c>
      <c r="K17" s="94">
        <f t="shared" si="4"/>
        <v>0</v>
      </c>
      <c r="L17" s="139">
        <f>SUM(F17:K17)</f>
        <v>0</v>
      </c>
      <c r="M17" s="139">
        <f t="shared" si="1"/>
        <v>0</v>
      </c>
    </row>
    <row r="18" spans="1:13" ht="14.25" customHeight="1">
      <c r="A18" s="303"/>
      <c r="B18" s="303"/>
      <c r="C18" s="302"/>
      <c r="D18" s="92" t="s">
        <v>43</v>
      </c>
      <c r="E18" s="88"/>
      <c r="F18" s="88"/>
      <c r="G18" s="88"/>
      <c r="H18" s="88"/>
      <c r="I18" s="87"/>
      <c r="J18" s="88"/>
      <c r="K18" s="88"/>
      <c r="L18" s="139"/>
      <c r="M18" s="139"/>
    </row>
    <row r="19" spans="1:13" ht="14.25" customHeight="1">
      <c r="A19" s="303"/>
      <c r="B19" s="303"/>
      <c r="C19" s="302"/>
      <c r="D19" s="93" t="s">
        <v>44</v>
      </c>
      <c r="E19" s="94"/>
      <c r="F19" s="94">
        <f aca="true" t="shared" si="5" ref="F19:K19">F18*$E$19</f>
        <v>0</v>
      </c>
      <c r="G19" s="94">
        <f t="shared" si="5"/>
        <v>0</v>
      </c>
      <c r="H19" s="94">
        <f t="shared" si="5"/>
        <v>0</v>
      </c>
      <c r="I19" s="94">
        <f t="shared" si="5"/>
        <v>0</v>
      </c>
      <c r="J19" s="94">
        <f t="shared" si="5"/>
        <v>0</v>
      </c>
      <c r="K19" s="94">
        <f t="shared" si="5"/>
        <v>0</v>
      </c>
      <c r="L19" s="139">
        <f>SUM(F19:K19)</f>
        <v>0</v>
      </c>
      <c r="M19" s="139">
        <f t="shared" si="1"/>
        <v>0</v>
      </c>
    </row>
    <row r="20" spans="1:13" ht="14.25" customHeight="1">
      <c r="A20" s="303"/>
      <c r="B20" s="303"/>
      <c r="C20" s="302"/>
      <c r="D20" s="92" t="s">
        <v>43</v>
      </c>
      <c r="E20" s="88"/>
      <c r="F20" s="88"/>
      <c r="G20" s="88"/>
      <c r="H20" s="88"/>
      <c r="I20" s="87"/>
      <c r="J20" s="88"/>
      <c r="K20" s="88"/>
      <c r="L20" s="139"/>
      <c r="M20" s="139"/>
    </row>
    <row r="21" spans="1:13" ht="14.25" customHeight="1">
      <c r="A21" s="303"/>
      <c r="B21" s="303"/>
      <c r="C21" s="302"/>
      <c r="D21" s="93" t="s">
        <v>44</v>
      </c>
      <c r="E21" s="94"/>
      <c r="F21" s="94">
        <f aca="true" t="shared" si="6" ref="F21:K21">F20*$E$21</f>
        <v>0</v>
      </c>
      <c r="G21" s="94">
        <f t="shared" si="6"/>
        <v>0</v>
      </c>
      <c r="H21" s="94">
        <f t="shared" si="6"/>
        <v>0</v>
      </c>
      <c r="I21" s="94">
        <f t="shared" si="6"/>
        <v>0</v>
      </c>
      <c r="J21" s="94">
        <f t="shared" si="6"/>
        <v>0</v>
      </c>
      <c r="K21" s="94">
        <f t="shared" si="6"/>
        <v>0</v>
      </c>
      <c r="L21" s="139">
        <f>SUM(F21:K21)</f>
        <v>0</v>
      </c>
      <c r="M21" s="139">
        <f t="shared" si="1"/>
        <v>0</v>
      </c>
    </row>
    <row r="22" spans="1:13" ht="14.25" customHeight="1">
      <c r="A22" s="303"/>
      <c r="B22" s="303"/>
      <c r="C22" s="302"/>
      <c r="D22" s="92" t="s">
        <v>43</v>
      </c>
      <c r="E22" s="88"/>
      <c r="F22" s="88"/>
      <c r="G22" s="88"/>
      <c r="H22" s="88"/>
      <c r="I22" s="87"/>
      <c r="J22" s="88"/>
      <c r="K22" s="88"/>
      <c r="L22" s="139"/>
      <c r="M22" s="139"/>
    </row>
    <row r="23" spans="1:13" ht="14.25" customHeight="1">
      <c r="A23" s="303"/>
      <c r="B23" s="303"/>
      <c r="C23" s="302"/>
      <c r="D23" s="93" t="s">
        <v>44</v>
      </c>
      <c r="E23" s="94"/>
      <c r="F23" s="94">
        <f aca="true" t="shared" si="7" ref="F23:K23">F22*$E$23</f>
        <v>0</v>
      </c>
      <c r="G23" s="94">
        <f t="shared" si="7"/>
        <v>0</v>
      </c>
      <c r="H23" s="94">
        <f t="shared" si="7"/>
        <v>0</v>
      </c>
      <c r="I23" s="94">
        <f t="shared" si="7"/>
        <v>0</v>
      </c>
      <c r="J23" s="94">
        <f t="shared" si="7"/>
        <v>0</v>
      </c>
      <c r="K23" s="94">
        <f t="shared" si="7"/>
        <v>0</v>
      </c>
      <c r="L23" s="139">
        <f>SUM(F23:K23)</f>
        <v>0</v>
      </c>
      <c r="M23" s="139">
        <f t="shared" si="1"/>
        <v>0</v>
      </c>
    </row>
    <row r="24" spans="1:13" ht="14.25" customHeight="1">
      <c r="A24" s="291"/>
      <c r="B24" s="292"/>
      <c r="C24" s="293"/>
      <c r="D24" s="95" t="s">
        <v>43</v>
      </c>
      <c r="E24" s="53"/>
      <c r="F24" s="53"/>
      <c r="G24" s="53"/>
      <c r="H24" s="53"/>
      <c r="I24" s="52"/>
      <c r="J24" s="53"/>
      <c r="K24" s="53"/>
      <c r="L24" s="139"/>
      <c r="M24" s="139"/>
    </row>
    <row r="25" spans="1:13" ht="14.25" customHeight="1">
      <c r="A25" s="291"/>
      <c r="B25" s="292"/>
      <c r="C25" s="293"/>
      <c r="D25" s="96" t="s">
        <v>44</v>
      </c>
      <c r="E25" s="97"/>
      <c r="F25" s="94">
        <f aca="true" t="shared" si="8" ref="F25:K25">F24*$E$25</f>
        <v>0</v>
      </c>
      <c r="G25" s="94">
        <f t="shared" si="8"/>
        <v>0</v>
      </c>
      <c r="H25" s="94">
        <f t="shared" si="8"/>
        <v>0</v>
      </c>
      <c r="I25" s="94">
        <f t="shared" si="8"/>
        <v>0</v>
      </c>
      <c r="J25" s="94">
        <f t="shared" si="8"/>
        <v>0</v>
      </c>
      <c r="K25" s="94">
        <f t="shared" si="8"/>
        <v>0</v>
      </c>
      <c r="L25" s="139">
        <f>SUM(F25:K25)</f>
        <v>0</v>
      </c>
      <c r="M25" s="139">
        <f t="shared" si="1"/>
        <v>0</v>
      </c>
    </row>
    <row r="26" spans="1:13" ht="13.5" customHeight="1">
      <c r="A26" s="294" t="s">
        <v>29</v>
      </c>
      <c r="B26" s="295"/>
      <c r="C26" s="296"/>
      <c r="D26" s="98" t="s">
        <v>43</v>
      </c>
      <c r="E26" s="88">
        <f>E6+E8+E10+E12+E14+E16+E18+E20+E22+E24</f>
        <v>0.9999999999999999</v>
      </c>
      <c r="F26" s="88">
        <f aca="true" t="shared" si="9" ref="F26:K26">F27/$E$27</f>
        <v>0.30843574154041603</v>
      </c>
      <c r="G26" s="88">
        <f t="shared" si="9"/>
        <v>0.5190577863248833</v>
      </c>
      <c r="H26" s="88">
        <f t="shared" si="9"/>
        <v>0.17250647213470066</v>
      </c>
      <c r="I26" s="88">
        <f t="shared" si="9"/>
        <v>0</v>
      </c>
      <c r="J26" s="88">
        <f t="shared" si="9"/>
        <v>0</v>
      </c>
      <c r="K26" s="88">
        <f t="shared" si="9"/>
        <v>0</v>
      </c>
      <c r="L26" s="139"/>
      <c r="M26" s="139"/>
    </row>
    <row r="27" spans="1:13" ht="13.5" customHeight="1">
      <c r="A27" s="297"/>
      <c r="B27" s="298"/>
      <c r="C27" s="299"/>
      <c r="D27" s="99" t="s">
        <v>44</v>
      </c>
      <c r="E27" s="138">
        <f>E7+E9+E11+E13+E15+E17+E19+E21+E23+E25</f>
        <v>91685.36</v>
      </c>
      <c r="F27" s="138">
        <f aca="true" t="shared" si="10" ref="F27:K27">F7+F9+F11+F13+F15+F17+F19+F21+F23+F25</f>
        <v>28279.041999999998</v>
      </c>
      <c r="G27" s="138">
        <f t="shared" si="10"/>
        <v>47590</v>
      </c>
      <c r="H27" s="138">
        <f t="shared" si="10"/>
        <v>15816.318</v>
      </c>
      <c r="I27" s="138">
        <f t="shared" si="10"/>
        <v>0</v>
      </c>
      <c r="J27" s="138">
        <f t="shared" si="10"/>
        <v>0</v>
      </c>
      <c r="K27" s="138">
        <f t="shared" si="10"/>
        <v>0</v>
      </c>
      <c r="L27" s="139">
        <f>SUM(F27:K27)</f>
        <v>91685.36</v>
      </c>
      <c r="M27" s="139"/>
    </row>
    <row r="28" spans="1:13" ht="13.5" customHeight="1">
      <c r="A28" s="73"/>
      <c r="B28" s="74"/>
      <c r="C28" s="74"/>
      <c r="D28" s="74"/>
      <c r="E28" s="74"/>
      <c r="F28" s="74"/>
      <c r="G28" s="86"/>
      <c r="H28" s="43"/>
      <c r="I28" s="75"/>
      <c r="J28" s="75"/>
      <c r="K28" s="44"/>
      <c r="L28" s="139"/>
      <c r="M28" s="37" t="s">
        <v>45</v>
      </c>
    </row>
    <row r="29" spans="1:11" ht="13.5" customHeight="1">
      <c r="A29" s="73"/>
      <c r="B29" s="51" t="str">
        <f>PLANILHA!B44:C44</f>
        <v>Eng. Civil WILSON DIAS DA FONSECA JR.</v>
      </c>
      <c r="C29" s="39"/>
      <c r="D29" s="74"/>
      <c r="E29" s="290" t="str">
        <f>PLANILHA!E44:F44</f>
        <v>61.924 / D</v>
      </c>
      <c r="F29" s="290"/>
      <c r="G29" s="40"/>
      <c r="H29" s="41" t="s">
        <v>46</v>
      </c>
      <c r="I29" s="75"/>
      <c r="J29" s="75"/>
      <c r="K29" s="76"/>
    </row>
    <row r="30" spans="1:11" ht="13.5" customHeight="1">
      <c r="A30" s="41"/>
      <c r="B30" s="300" t="s">
        <v>50</v>
      </c>
      <c r="C30" s="300"/>
      <c r="D30" s="77"/>
      <c r="E30" s="301" t="s">
        <v>8</v>
      </c>
      <c r="F30" s="301"/>
      <c r="G30" s="42"/>
      <c r="H30" s="43"/>
      <c r="I30" s="75"/>
      <c r="J30" s="75"/>
      <c r="K30" s="44"/>
    </row>
    <row r="31" spans="1:11" ht="13.5" customHeight="1">
      <c r="A31" s="41"/>
      <c r="B31" s="54"/>
      <c r="C31" s="54"/>
      <c r="D31" s="77"/>
      <c r="E31" s="54"/>
      <c r="F31" s="54"/>
      <c r="G31" s="42"/>
      <c r="H31" s="43"/>
      <c r="I31" s="75"/>
      <c r="J31" s="75"/>
      <c r="K31" s="44"/>
    </row>
    <row r="32" spans="1:11" ht="13.5" customHeight="1">
      <c r="A32" s="78"/>
      <c r="B32" s="304" t="str">
        <f>PLANILHA!B47:C47</f>
        <v>Prefeito GILMAR DE PAULA LIMA</v>
      </c>
      <c r="C32" s="304"/>
      <c r="D32" s="79"/>
      <c r="E32" s="79"/>
      <c r="F32" s="80"/>
      <c r="G32" s="44"/>
      <c r="H32" s="43"/>
      <c r="I32" s="75"/>
      <c r="J32" s="75"/>
      <c r="K32" s="44"/>
    </row>
    <row r="33" spans="1:11" ht="13.5" customHeight="1">
      <c r="A33" s="81"/>
      <c r="B33" s="208" t="s">
        <v>11</v>
      </c>
      <c r="C33" s="208"/>
      <c r="D33" s="82"/>
      <c r="E33" s="82"/>
      <c r="F33" s="83"/>
      <c r="G33" s="84"/>
      <c r="H33" s="85"/>
      <c r="I33" s="83"/>
      <c r="J33" s="83"/>
      <c r="K33" s="84"/>
    </row>
    <row r="35" ht="12.75">
      <c r="E35" s="100">
        <f>PLANILHA!H41</f>
        <v>91685.35999999999</v>
      </c>
    </row>
  </sheetData>
  <sheetProtection/>
  <mergeCells count="44">
    <mergeCell ref="A2:K2"/>
    <mergeCell ref="A3:C3"/>
    <mergeCell ref="D3:E3"/>
    <mergeCell ref="F3:G3"/>
    <mergeCell ref="I3:K3"/>
    <mergeCell ref="A4:C4"/>
    <mergeCell ref="D4:H4"/>
    <mergeCell ref="I4:K4"/>
    <mergeCell ref="A6:A7"/>
    <mergeCell ref="B6:B7"/>
    <mergeCell ref="C6:C7"/>
    <mergeCell ref="A12:A13"/>
    <mergeCell ref="B12:B13"/>
    <mergeCell ref="C12:C13"/>
    <mergeCell ref="A8:A9"/>
    <mergeCell ref="B8:B9"/>
    <mergeCell ref="C8:C9"/>
    <mergeCell ref="A10:A11"/>
    <mergeCell ref="B10:B11"/>
    <mergeCell ref="C10:C11"/>
    <mergeCell ref="A14:A15"/>
    <mergeCell ref="B14:B15"/>
    <mergeCell ref="C14:C15"/>
    <mergeCell ref="A16:A17"/>
    <mergeCell ref="B16:B17"/>
    <mergeCell ref="C16:C17"/>
    <mergeCell ref="C18:C19"/>
    <mergeCell ref="A20:A21"/>
    <mergeCell ref="B20:B21"/>
    <mergeCell ref="C20:C21"/>
    <mergeCell ref="C22:C23"/>
    <mergeCell ref="B32:C32"/>
    <mergeCell ref="A22:A23"/>
    <mergeCell ref="B22:B23"/>
    <mergeCell ref="A18:A19"/>
    <mergeCell ref="B18:B19"/>
    <mergeCell ref="B33:C33"/>
    <mergeCell ref="E29:F29"/>
    <mergeCell ref="A24:A25"/>
    <mergeCell ref="B24:B25"/>
    <mergeCell ref="C24:C25"/>
    <mergeCell ref="A26:C27"/>
    <mergeCell ref="B30:C30"/>
    <mergeCell ref="E30:F30"/>
  </mergeCells>
  <printOptions horizontalCentered="1"/>
  <pageMargins left="0.1968503937007874" right="0.1968503937007874" top="0.1968503937007874" bottom="0.1968503937007874" header="0.1968503937007874" footer="0"/>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J42"/>
  <sheetViews>
    <sheetView showGridLines="0" showZeros="0" tabSelected="1" view="pageBreakPreview" zoomScale="110" zoomScaleSheetLayoutView="110" zoomScalePageLayoutView="0" workbookViewId="0" topLeftCell="A1">
      <selection activeCell="A6" sqref="A6:E37"/>
    </sheetView>
  </sheetViews>
  <sheetFormatPr defaultColWidth="9.140625" defaultRowHeight="12.75"/>
  <cols>
    <col min="1" max="1" width="6.421875" style="152" customWidth="1"/>
    <col min="2" max="2" width="36.7109375" style="152" customWidth="1"/>
    <col min="3" max="3" width="5.7109375" style="175" customWidth="1"/>
    <col min="4" max="4" width="8.57421875" style="176" customWidth="1"/>
    <col min="5" max="5" width="10.00390625" style="177" customWidth="1"/>
    <col min="6" max="6" width="13.00390625" style="152" customWidth="1"/>
    <col min="7" max="10" width="14.7109375" style="152" customWidth="1"/>
    <col min="11" max="11" width="4.7109375" style="152" customWidth="1"/>
    <col min="12" max="16384" width="9.140625" style="152" customWidth="1"/>
  </cols>
  <sheetData>
    <row r="1" spans="1:10" s="147" customFormat="1" ht="60.75" customHeight="1">
      <c r="A1" s="146"/>
      <c r="B1" s="146"/>
      <c r="C1" s="319"/>
      <c r="D1" s="319"/>
      <c r="E1" s="319"/>
      <c r="F1" s="319"/>
      <c r="G1" s="319"/>
      <c r="H1" s="319"/>
      <c r="I1" s="319"/>
      <c r="J1" s="319"/>
    </row>
    <row r="2" spans="1:10" s="148" customFormat="1" ht="15" customHeight="1">
      <c r="A2" s="320" t="s">
        <v>132</v>
      </c>
      <c r="B2" s="321"/>
      <c r="C2" s="321"/>
      <c r="D2" s="321"/>
      <c r="E2" s="321"/>
      <c r="F2" s="321"/>
      <c r="G2" s="321"/>
      <c r="H2" s="321"/>
      <c r="I2" s="321"/>
      <c r="J2" s="322"/>
    </row>
    <row r="3" spans="1:10" s="148" customFormat="1" ht="15" customHeight="1">
      <c r="A3" s="323" t="str">
        <f>PLANILHA!A4</f>
        <v>OBRA: Execução de ponte mista em estrutura de concreto armado e vigas metálicos</v>
      </c>
      <c r="B3" s="324"/>
      <c r="C3" s="324"/>
      <c r="D3" s="324"/>
      <c r="E3" s="324"/>
      <c r="F3" s="324"/>
      <c r="G3" s="324"/>
      <c r="H3" s="324"/>
      <c r="I3" s="324"/>
      <c r="J3" s="325"/>
    </row>
    <row r="4" spans="1:10" s="148" customFormat="1" ht="12.75">
      <c r="A4" s="326" t="str">
        <f>PLANILHA!A5:D5</f>
        <v>LOCAL: Córrego Charnecão, Rua Aniceto de Barros, Bairro Centro, Município de Santa Cruz do Escalvado.</v>
      </c>
      <c r="B4" s="327"/>
      <c r="C4" s="327"/>
      <c r="D4" s="327"/>
      <c r="E4" s="327"/>
      <c r="F4" s="327"/>
      <c r="G4" s="328"/>
      <c r="H4" s="149" t="str">
        <f>PLANILHA!G4</f>
        <v>DATA: 04/03/24</v>
      </c>
      <c r="I4" s="150"/>
      <c r="J4" s="151"/>
    </row>
    <row r="5" spans="1:10" ht="12" customHeight="1">
      <c r="A5" s="329" t="s">
        <v>133</v>
      </c>
      <c r="B5" s="330"/>
      <c r="C5" s="330"/>
      <c r="D5" s="330"/>
      <c r="E5" s="330"/>
      <c r="F5" s="330"/>
      <c r="G5" s="330"/>
      <c r="H5" s="330"/>
      <c r="I5" s="330"/>
      <c r="J5" s="331"/>
    </row>
    <row r="6" spans="1:10" ht="12" customHeight="1">
      <c r="A6" s="332"/>
      <c r="B6" s="332"/>
      <c r="C6" s="332"/>
      <c r="D6" s="332"/>
      <c r="E6" s="332"/>
      <c r="F6" s="334"/>
      <c r="G6" s="334"/>
      <c r="H6" s="334"/>
      <c r="I6" s="334"/>
      <c r="J6" s="334"/>
    </row>
    <row r="7" spans="1:10" ht="12" customHeight="1">
      <c r="A7" s="333"/>
      <c r="B7" s="333"/>
      <c r="C7" s="333"/>
      <c r="D7" s="333"/>
      <c r="E7" s="333"/>
      <c r="F7" s="335"/>
      <c r="G7" s="335"/>
      <c r="H7" s="335"/>
      <c r="I7" s="335"/>
      <c r="J7" s="335"/>
    </row>
    <row r="8" spans="1:10" ht="12" customHeight="1">
      <c r="A8" s="333"/>
      <c r="B8" s="333"/>
      <c r="C8" s="333"/>
      <c r="D8" s="333"/>
      <c r="E8" s="333"/>
      <c r="F8" s="335"/>
      <c r="G8" s="335"/>
      <c r="H8" s="335"/>
      <c r="I8" s="335"/>
      <c r="J8" s="335"/>
    </row>
    <row r="9" spans="1:10" ht="12" customHeight="1">
      <c r="A9" s="333"/>
      <c r="B9" s="333"/>
      <c r="C9" s="333"/>
      <c r="D9" s="333"/>
      <c r="E9" s="333"/>
      <c r="F9" s="335"/>
      <c r="G9" s="335"/>
      <c r="H9" s="335"/>
      <c r="I9" s="335"/>
      <c r="J9" s="335"/>
    </row>
    <row r="10" spans="1:10" ht="12" customHeight="1">
      <c r="A10" s="333"/>
      <c r="B10" s="333"/>
      <c r="C10" s="333"/>
      <c r="D10" s="333"/>
      <c r="E10" s="333"/>
      <c r="F10" s="335"/>
      <c r="G10" s="335"/>
      <c r="H10" s="335"/>
      <c r="I10" s="335"/>
      <c r="J10" s="335"/>
    </row>
    <row r="11" spans="1:10" ht="12" customHeight="1">
      <c r="A11" s="333"/>
      <c r="B11" s="333"/>
      <c r="C11" s="333"/>
      <c r="D11" s="333"/>
      <c r="E11" s="333"/>
      <c r="F11" s="335"/>
      <c r="G11" s="335"/>
      <c r="H11" s="335"/>
      <c r="I11" s="335"/>
      <c r="J11" s="335"/>
    </row>
    <row r="12" spans="1:10" ht="12" customHeight="1">
      <c r="A12" s="333"/>
      <c r="B12" s="333"/>
      <c r="C12" s="333"/>
      <c r="D12" s="333"/>
      <c r="E12" s="333"/>
      <c r="F12" s="335"/>
      <c r="G12" s="335"/>
      <c r="H12" s="335"/>
      <c r="I12" s="335"/>
      <c r="J12" s="335"/>
    </row>
    <row r="13" spans="1:10" ht="12" customHeight="1">
      <c r="A13" s="333"/>
      <c r="B13" s="333"/>
      <c r="C13" s="333"/>
      <c r="D13" s="333"/>
      <c r="E13" s="333"/>
      <c r="F13" s="335"/>
      <c r="G13" s="335"/>
      <c r="H13" s="335"/>
      <c r="I13" s="335"/>
      <c r="J13" s="335"/>
    </row>
    <row r="14" spans="1:10" ht="12" customHeight="1">
      <c r="A14" s="333"/>
      <c r="B14" s="333"/>
      <c r="C14" s="333"/>
      <c r="D14" s="333"/>
      <c r="E14" s="333"/>
      <c r="F14" s="335"/>
      <c r="G14" s="335"/>
      <c r="H14" s="335"/>
      <c r="I14" s="335"/>
      <c r="J14" s="335"/>
    </row>
    <row r="15" spans="1:10" ht="12" customHeight="1">
      <c r="A15" s="333"/>
      <c r="B15" s="333"/>
      <c r="C15" s="333"/>
      <c r="D15" s="333"/>
      <c r="E15" s="333"/>
      <c r="F15" s="335"/>
      <c r="G15" s="335"/>
      <c r="H15" s="335"/>
      <c r="I15" s="335"/>
      <c r="J15" s="335"/>
    </row>
    <row r="16" spans="1:10" ht="12" customHeight="1">
      <c r="A16" s="333"/>
      <c r="B16" s="333"/>
      <c r="C16" s="333"/>
      <c r="D16" s="333"/>
      <c r="E16" s="333"/>
      <c r="F16" s="335"/>
      <c r="G16" s="335"/>
      <c r="H16" s="335"/>
      <c r="I16" s="335"/>
      <c r="J16" s="335"/>
    </row>
    <row r="17" spans="1:10" ht="12" customHeight="1">
      <c r="A17" s="333"/>
      <c r="B17" s="333"/>
      <c r="C17" s="333"/>
      <c r="D17" s="333"/>
      <c r="E17" s="333"/>
      <c r="F17" s="335"/>
      <c r="G17" s="335"/>
      <c r="H17" s="335"/>
      <c r="I17" s="335"/>
      <c r="J17" s="335"/>
    </row>
    <row r="18" spans="1:10" ht="12" customHeight="1">
      <c r="A18" s="333"/>
      <c r="B18" s="333"/>
      <c r="C18" s="333"/>
      <c r="D18" s="333"/>
      <c r="E18" s="333"/>
      <c r="F18" s="335"/>
      <c r="G18" s="335"/>
      <c r="H18" s="335"/>
      <c r="I18" s="335"/>
      <c r="J18" s="335"/>
    </row>
    <row r="19" spans="1:10" ht="12" customHeight="1">
      <c r="A19" s="333"/>
      <c r="B19" s="333"/>
      <c r="C19" s="333"/>
      <c r="D19" s="333"/>
      <c r="E19" s="333"/>
      <c r="F19" s="335"/>
      <c r="G19" s="335"/>
      <c r="H19" s="335"/>
      <c r="I19" s="335"/>
      <c r="J19" s="335"/>
    </row>
    <row r="20" spans="1:10" ht="12" customHeight="1">
      <c r="A20" s="333"/>
      <c r="B20" s="333"/>
      <c r="C20" s="333"/>
      <c r="D20" s="333"/>
      <c r="E20" s="333"/>
      <c r="F20" s="335"/>
      <c r="G20" s="335"/>
      <c r="H20" s="335"/>
      <c r="I20" s="335"/>
      <c r="J20" s="335"/>
    </row>
    <row r="21" spans="1:10" ht="12" customHeight="1">
      <c r="A21" s="333"/>
      <c r="B21" s="333"/>
      <c r="C21" s="333"/>
      <c r="D21" s="333"/>
      <c r="E21" s="333"/>
      <c r="F21" s="335"/>
      <c r="G21" s="335"/>
      <c r="H21" s="335"/>
      <c r="I21" s="335"/>
      <c r="J21" s="335"/>
    </row>
    <row r="22" spans="1:10" ht="12" customHeight="1">
      <c r="A22" s="333"/>
      <c r="B22" s="333"/>
      <c r="C22" s="333"/>
      <c r="D22" s="333"/>
      <c r="E22" s="333"/>
      <c r="F22" s="335"/>
      <c r="G22" s="335"/>
      <c r="H22" s="335"/>
      <c r="I22" s="335"/>
      <c r="J22" s="335"/>
    </row>
    <row r="23" spans="1:10" ht="12" customHeight="1">
      <c r="A23" s="333"/>
      <c r="B23" s="333"/>
      <c r="C23" s="333"/>
      <c r="D23" s="333"/>
      <c r="E23" s="333"/>
      <c r="F23" s="335"/>
      <c r="G23" s="335"/>
      <c r="H23" s="335"/>
      <c r="I23" s="335"/>
      <c r="J23" s="335"/>
    </row>
    <row r="24" spans="1:10" ht="12" customHeight="1">
      <c r="A24" s="333"/>
      <c r="B24" s="333"/>
      <c r="C24" s="333"/>
      <c r="D24" s="333"/>
      <c r="E24" s="333"/>
      <c r="F24" s="335"/>
      <c r="G24" s="335"/>
      <c r="H24" s="335"/>
      <c r="I24" s="335"/>
      <c r="J24" s="335"/>
    </row>
    <row r="25" spans="1:10" ht="12" customHeight="1">
      <c r="A25" s="333"/>
      <c r="B25" s="333"/>
      <c r="C25" s="333"/>
      <c r="D25" s="333"/>
      <c r="E25" s="333"/>
      <c r="F25" s="335"/>
      <c r="G25" s="335"/>
      <c r="H25" s="335"/>
      <c r="I25" s="335"/>
      <c r="J25" s="335"/>
    </row>
    <row r="26" spans="1:10" ht="12" customHeight="1">
      <c r="A26" s="333"/>
      <c r="B26" s="333"/>
      <c r="C26" s="333"/>
      <c r="D26" s="333"/>
      <c r="E26" s="333"/>
      <c r="F26" s="335"/>
      <c r="G26" s="335"/>
      <c r="H26" s="335"/>
      <c r="I26" s="335"/>
      <c r="J26" s="335"/>
    </row>
    <row r="27" spans="1:10" ht="12" customHeight="1">
      <c r="A27" s="333"/>
      <c r="B27" s="333"/>
      <c r="C27" s="333"/>
      <c r="D27" s="333"/>
      <c r="E27" s="333"/>
      <c r="F27" s="335"/>
      <c r="G27" s="335"/>
      <c r="H27" s="335"/>
      <c r="I27" s="335"/>
      <c r="J27" s="335"/>
    </row>
    <row r="28" spans="1:10" ht="12" customHeight="1">
      <c r="A28" s="333"/>
      <c r="B28" s="333"/>
      <c r="C28" s="333"/>
      <c r="D28" s="333"/>
      <c r="E28" s="333"/>
      <c r="F28" s="335"/>
      <c r="G28" s="335"/>
      <c r="H28" s="335"/>
      <c r="I28" s="335"/>
      <c r="J28" s="335"/>
    </row>
    <row r="29" spans="1:10" ht="12" customHeight="1">
      <c r="A29" s="333"/>
      <c r="B29" s="333"/>
      <c r="C29" s="333"/>
      <c r="D29" s="333"/>
      <c r="E29" s="333"/>
      <c r="F29" s="335"/>
      <c r="G29" s="335"/>
      <c r="H29" s="335"/>
      <c r="I29" s="335"/>
      <c r="J29" s="335"/>
    </row>
    <row r="30" spans="1:10" ht="12" customHeight="1">
      <c r="A30" s="333"/>
      <c r="B30" s="333"/>
      <c r="C30" s="333"/>
      <c r="D30" s="333"/>
      <c r="E30" s="333"/>
      <c r="F30" s="335"/>
      <c r="G30" s="335"/>
      <c r="H30" s="335"/>
      <c r="I30" s="335"/>
      <c r="J30" s="335"/>
    </row>
    <row r="31" spans="1:10" ht="12" customHeight="1">
      <c r="A31" s="333"/>
      <c r="B31" s="333"/>
      <c r="C31" s="333"/>
      <c r="D31" s="333"/>
      <c r="E31" s="333"/>
      <c r="F31" s="335"/>
      <c r="G31" s="335"/>
      <c r="H31" s="335"/>
      <c r="I31" s="335"/>
      <c r="J31" s="335"/>
    </row>
    <row r="32" spans="1:10" ht="12" customHeight="1">
      <c r="A32" s="333"/>
      <c r="B32" s="333"/>
      <c r="C32" s="333"/>
      <c r="D32" s="333"/>
      <c r="E32" s="333"/>
      <c r="F32" s="335"/>
      <c r="G32" s="335"/>
      <c r="H32" s="335"/>
      <c r="I32" s="335"/>
      <c r="J32" s="335"/>
    </row>
    <row r="33" spans="1:10" ht="12" customHeight="1">
      <c r="A33" s="333"/>
      <c r="B33" s="333"/>
      <c r="C33" s="333"/>
      <c r="D33" s="333"/>
      <c r="E33" s="333"/>
      <c r="F33" s="335"/>
      <c r="G33" s="335"/>
      <c r="H33" s="335"/>
      <c r="I33" s="335"/>
      <c r="J33" s="335"/>
    </row>
    <row r="34" spans="1:10" ht="12" customHeight="1">
      <c r="A34" s="333"/>
      <c r="B34" s="333"/>
      <c r="C34" s="333"/>
      <c r="D34" s="333"/>
      <c r="E34" s="333"/>
      <c r="F34" s="335"/>
      <c r="G34" s="335"/>
      <c r="H34" s="335"/>
      <c r="I34" s="335"/>
      <c r="J34" s="335"/>
    </row>
    <row r="35" spans="1:10" ht="12" customHeight="1">
      <c r="A35" s="333"/>
      <c r="B35" s="333"/>
      <c r="C35" s="333"/>
      <c r="D35" s="333"/>
      <c r="E35" s="333"/>
      <c r="F35" s="335"/>
      <c r="G35" s="335"/>
      <c r="H35" s="335"/>
      <c r="I35" s="335"/>
      <c r="J35" s="335"/>
    </row>
    <row r="36" spans="1:10" ht="12" customHeight="1">
      <c r="A36" s="333"/>
      <c r="B36" s="333"/>
      <c r="C36" s="333"/>
      <c r="D36" s="333"/>
      <c r="E36" s="333"/>
      <c r="F36" s="335"/>
      <c r="G36" s="335"/>
      <c r="H36" s="335"/>
      <c r="I36" s="335"/>
      <c r="J36" s="335"/>
    </row>
    <row r="37" spans="1:10" ht="12" customHeight="1">
      <c r="A37" s="333"/>
      <c r="B37" s="333"/>
      <c r="C37" s="333"/>
      <c r="D37" s="333"/>
      <c r="E37" s="333"/>
      <c r="F37" s="335"/>
      <c r="G37" s="335"/>
      <c r="H37" s="335"/>
      <c r="I37" s="335"/>
      <c r="J37" s="335"/>
    </row>
    <row r="38" spans="1:10" ht="12" customHeight="1">
      <c r="A38" s="153"/>
      <c r="B38" s="154"/>
      <c r="C38" s="155"/>
      <c r="D38" s="156"/>
      <c r="E38" s="156"/>
      <c r="F38" s="157"/>
      <c r="G38" s="158"/>
      <c r="H38" s="158"/>
      <c r="I38" s="158"/>
      <c r="J38" s="158"/>
    </row>
    <row r="39" spans="1:10" s="148" customFormat="1" ht="12.75">
      <c r="A39" s="159"/>
      <c r="B39" s="160"/>
      <c r="C39" s="161"/>
      <c r="D39" s="162"/>
      <c r="E39" s="160"/>
      <c r="F39" s="161"/>
      <c r="G39" s="162"/>
      <c r="H39" s="162"/>
      <c r="I39" s="162"/>
      <c r="J39" s="163"/>
    </row>
    <row r="40" spans="1:10" s="148" customFormat="1" ht="12.75">
      <c r="A40" s="164"/>
      <c r="B40" s="165"/>
      <c r="C40" s="166" t="s">
        <v>30</v>
      </c>
      <c r="D40" s="165"/>
      <c r="E40" s="165"/>
      <c r="F40" s="167"/>
      <c r="G40" s="165"/>
      <c r="H40" s="166"/>
      <c r="I40" s="165"/>
      <c r="J40" s="163"/>
    </row>
    <row r="41" spans="1:10" s="148" customFormat="1" ht="12.75">
      <c r="A41" s="164"/>
      <c r="B41" s="165"/>
      <c r="C41" s="168" t="s">
        <v>134</v>
      </c>
      <c r="D41" s="165"/>
      <c r="E41" s="165"/>
      <c r="F41" s="167"/>
      <c r="G41" s="165"/>
      <c r="H41" s="168"/>
      <c r="I41" s="165"/>
      <c r="J41" s="163"/>
    </row>
    <row r="42" spans="1:10" s="148" customFormat="1" ht="12.75">
      <c r="A42" s="169"/>
      <c r="B42" s="170"/>
      <c r="C42" s="171" t="s">
        <v>135</v>
      </c>
      <c r="D42" s="170"/>
      <c r="E42" s="170"/>
      <c r="F42" s="172"/>
      <c r="G42" s="170"/>
      <c r="H42" s="173"/>
      <c r="I42" s="170"/>
      <c r="J42" s="174"/>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sheetData>
  <sheetProtection/>
  <mergeCells count="7">
    <mergeCell ref="C1:J1"/>
    <mergeCell ref="A2:J2"/>
    <mergeCell ref="A3:J3"/>
    <mergeCell ref="A4:G4"/>
    <mergeCell ref="A5:J5"/>
    <mergeCell ref="A6:E37"/>
    <mergeCell ref="F6:J37"/>
  </mergeCells>
  <printOptions gridLines="1" horizontalCentered="1" verticalCentered="1"/>
  <pageMargins left="0.1968503937007874" right="0.1968503937007874" top="0.1968503937007874" bottom="0.1968503937007874" header="0" footer="0"/>
  <pageSetup horizontalDpi="600" verticalDpi="600" orientation="landscape" paperSize="9" scale="95" r:id="rId2"/>
  <headerFooter alignWithMargins="0">
    <oddFooter>&amp;CFolha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Setop</dc:creator>
  <cp:keywords/>
  <dc:description/>
  <cp:lastModifiedBy>licita02</cp:lastModifiedBy>
  <cp:lastPrinted>2024-04-01T12:28:56Z</cp:lastPrinted>
  <dcterms:created xsi:type="dcterms:W3CDTF">2006-09-22T13:55:22Z</dcterms:created>
  <dcterms:modified xsi:type="dcterms:W3CDTF">2024-04-01T12:29:53Z</dcterms:modified>
  <cp:category/>
  <cp:version/>
  <cp:contentType/>
  <cp:contentStatus/>
</cp:coreProperties>
</file>