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licita01\PROCESSOS LICITATÓRIOS 2021\PROCESSOS LICITATORIOS 2026\PL 129.2026 - CON 033.2026 - CALÇ MATO DENTRO TRECHO 2\"/>
    </mc:Choice>
  </mc:AlternateContent>
  <xr:revisionPtr revIDLastSave="0" documentId="13_ncr:1_{927BAAB3-2B67-4A61-8AF6-4F682D644E57}" xr6:coauthVersionLast="47" xr6:coauthVersionMax="47" xr10:uidLastSave="{00000000-0000-0000-0000-000000000000}"/>
  <bookViews>
    <workbookView xWindow="-120" yWindow="-120" windowWidth="21840" windowHeight="13140" activeTab="3" xr2:uid="{7A6DAB2C-EBAD-4546-8F4F-9ED429A1961E}"/>
  </bookViews>
  <sheets>
    <sheet name="MEMÓRIA" sheetId="8" r:id="rId1"/>
    <sheet name="PLANILHA" sheetId="5" r:id="rId2"/>
    <sheet name="CRONOGRAMA" sheetId="7" r:id="rId3"/>
    <sheet name="FOTOS" sheetId="9" r:id="rId4"/>
    <sheet name="BDI" sheetId="10" r:id="rId5"/>
    <sheet name="Base dados - TCU 2622_2013" sheetId="11" r:id="rId6"/>
  </sheets>
  <externalReferences>
    <externalReference r:id="rId7"/>
  </externalReferences>
  <definedNames>
    <definedName name="_xlnm.Print_Area" localSheetId="4">BDI!$A$2:$E$47</definedName>
    <definedName name="_xlnm.Print_Area" localSheetId="2">CRONOGRAMA!$A$2:$K$53</definedName>
    <definedName name="_xlnm.Print_Area" localSheetId="3">FOTOS!$A$1:$J$44</definedName>
    <definedName name="_xlnm.Print_Area" localSheetId="0">MEMÓRIA!$A$1:$L$35</definedName>
    <definedName name="_xlnm.Print_Area" localSheetId="1">PLANILHA!$A$1:$H$42</definedName>
    <definedName name="NOME1" localSheetId="3">#REF!</definedName>
    <definedName name="NOME1">#REF!</definedName>
    <definedName name="NOME2" localSheetId="3">#REF!</definedName>
    <definedName name="NOME2">#REF!</definedName>
    <definedName name="sigla_obras">'Base dados - TCU 2622_2013'!$A$7:$A$14</definedName>
    <definedName name="sigla_sn">'Base dados - TCU 2622_2013'!$A$2:$A$3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 i="7"/>
  <c r="H1" i="7"/>
  <c r="L15" i="8"/>
  <c r="M17" i="8"/>
  <c r="G15" i="5"/>
  <c r="F15" i="5" s="1"/>
  <c r="E15" i="5"/>
  <c r="L13" i="8" s="1"/>
  <c r="K15" i="5"/>
  <c r="H15" i="5" l="1"/>
  <c r="J15" i="5" s="1"/>
  <c r="F28" i="5" l="1"/>
  <c r="K30" i="5"/>
  <c r="K28" i="5"/>
  <c r="L21" i="8"/>
  <c r="L22" i="8"/>
  <c r="E24" i="5"/>
  <c r="L16" i="8"/>
  <c r="E18" i="5" s="1"/>
  <c r="H18" i="5" s="1"/>
  <c r="M28" i="8"/>
  <c r="L28" i="8"/>
  <c r="E30" i="5" s="1"/>
  <c r="H30" i="5" s="1"/>
  <c r="L26" i="8"/>
  <c r="E28" i="5"/>
  <c r="L24" i="8"/>
  <c r="L23" i="8" s="1"/>
  <c r="E25" i="5" s="1"/>
  <c r="E26" i="5"/>
  <c r="L18" i="8"/>
  <c r="L19" i="8" s="1"/>
  <c r="E21" i="5" s="1"/>
  <c r="C11" i="7"/>
  <c r="A11" i="7"/>
  <c r="L29" i="8"/>
  <c r="E31" i="5" s="1"/>
  <c r="H31" i="5" s="1"/>
  <c r="B30" i="8"/>
  <c r="A30" i="8"/>
  <c r="K30" i="8"/>
  <c r="Q24" i="5"/>
  <c r="V21" i="5"/>
  <c r="Q25" i="5"/>
  <c r="L10" i="8"/>
  <c r="E12" i="5"/>
  <c r="H12" i="5" s="1"/>
  <c r="L9" i="8"/>
  <c r="E11" i="5"/>
  <c r="H11" i="5" s="1"/>
  <c r="L8" i="8"/>
  <c r="E10" i="5"/>
  <c r="H10" i="5" s="1"/>
  <c r="E13" i="5"/>
  <c r="E16" i="5"/>
  <c r="E22" i="5"/>
  <c r="E29" i="5"/>
  <c r="K9" i="8"/>
  <c r="K10" i="8"/>
  <c r="K11" i="8"/>
  <c r="K12" i="8"/>
  <c r="K13" i="8"/>
  <c r="K14" i="8"/>
  <c r="K15" i="8"/>
  <c r="K16" i="8"/>
  <c r="K17" i="8"/>
  <c r="K18" i="8"/>
  <c r="K19" i="8"/>
  <c r="K20" i="8"/>
  <c r="K21" i="8"/>
  <c r="K22" i="8"/>
  <c r="K23" i="8"/>
  <c r="K24" i="8"/>
  <c r="K25" i="8"/>
  <c r="K26" i="8"/>
  <c r="K27" i="8"/>
  <c r="K28" i="8"/>
  <c r="K29" i="8"/>
  <c r="G24" i="5"/>
  <c r="G32" i="5"/>
  <c r="G31" i="5"/>
  <c r="G30" i="5"/>
  <c r="B29" i="8"/>
  <c r="B28" i="8"/>
  <c r="A28" i="8"/>
  <c r="A29" i="8"/>
  <c r="B27" i="8"/>
  <c r="B26" i="8"/>
  <c r="B25" i="8"/>
  <c r="A27" i="8"/>
  <c r="A25" i="8"/>
  <c r="A26" i="8"/>
  <c r="G28" i="5"/>
  <c r="G27" i="5"/>
  <c r="E16" i="8"/>
  <c r="E23" i="5"/>
  <c r="H23" i="5" s="1"/>
  <c r="B24" i="8"/>
  <c r="A24" i="8"/>
  <c r="B23" i="8"/>
  <c r="A23" i="8"/>
  <c r="B22" i="8"/>
  <c r="A22" i="8"/>
  <c r="B21" i="8"/>
  <c r="A21" i="8"/>
  <c r="B20" i="8"/>
  <c r="A20" i="8"/>
  <c r="B19" i="8"/>
  <c r="A19" i="8"/>
  <c r="B18" i="8"/>
  <c r="A18" i="8"/>
  <c r="B17" i="8"/>
  <c r="A17" i="8"/>
  <c r="B16" i="8"/>
  <c r="A16" i="8"/>
  <c r="B15" i="8"/>
  <c r="A15" i="8"/>
  <c r="B14" i="8"/>
  <c r="A14" i="8"/>
  <c r="G21" i="5"/>
  <c r="G20" i="5"/>
  <c r="G18" i="5"/>
  <c r="G26" i="5"/>
  <c r="G25" i="5"/>
  <c r="G23" i="5"/>
  <c r="G22" i="5"/>
  <c r="G16" i="5"/>
  <c r="T14" i="11"/>
  <c r="T13" i="11"/>
  <c r="T12" i="11"/>
  <c r="T11" i="11"/>
  <c r="T10" i="11"/>
  <c r="T9" i="11"/>
  <c r="T8" i="11"/>
  <c r="T7" i="11"/>
  <c r="A40" i="10"/>
  <c r="M27" i="10"/>
  <c r="L28" i="10" s="1"/>
  <c r="K27" i="10"/>
  <c r="J28" i="10" s="1"/>
  <c r="I27" i="10"/>
  <c r="E29" i="10"/>
  <c r="E27" i="10"/>
  <c r="D27" i="10"/>
  <c r="E24" i="10"/>
  <c r="D24" i="10"/>
  <c r="C24" i="10"/>
  <c r="B24" i="10"/>
  <c r="E22" i="10"/>
  <c r="F22" i="10"/>
  <c r="D22" i="10"/>
  <c r="C22" i="10"/>
  <c r="B22" i="10"/>
  <c r="A22" i="10"/>
  <c r="D21" i="10"/>
  <c r="C21" i="10"/>
  <c r="B21" i="10"/>
  <c r="D20" i="10"/>
  <c r="C20" i="10"/>
  <c r="B20" i="10"/>
  <c r="F20" i="10" s="1"/>
  <c r="D19" i="10"/>
  <c r="C19" i="10"/>
  <c r="B19" i="10"/>
  <c r="F19" i="10" s="1"/>
  <c r="D18" i="10"/>
  <c r="C18" i="10"/>
  <c r="B18" i="10"/>
  <c r="D17" i="10"/>
  <c r="C17" i="10"/>
  <c r="B17" i="10"/>
  <c r="D16" i="10"/>
  <c r="C16" i="10"/>
  <c r="B16" i="10"/>
  <c r="F16" i="10" s="1"/>
  <c r="D15" i="10"/>
  <c r="C15" i="10"/>
  <c r="B15" i="10"/>
  <c r="F15" i="10" s="1"/>
  <c r="D14" i="10"/>
  <c r="C14" i="10"/>
  <c r="B14" i="10"/>
  <c r="F14" i="10" s="1"/>
  <c r="F10" i="10"/>
  <c r="F9" i="10"/>
  <c r="F8" i="10"/>
  <c r="M34" i="7"/>
  <c r="M33" i="7"/>
  <c r="M32" i="7"/>
  <c r="M31" i="7"/>
  <c r="M30" i="7"/>
  <c r="M29" i="7"/>
  <c r="M28" i="7"/>
  <c r="M27" i="7"/>
  <c r="M26" i="7"/>
  <c r="M25" i="7"/>
  <c r="M23" i="7"/>
  <c r="M21" i="7"/>
  <c r="M19" i="7"/>
  <c r="M17" i="7"/>
  <c r="M15" i="7"/>
  <c r="M13" i="7"/>
  <c r="M11" i="7"/>
  <c r="M9" i="7"/>
  <c r="M7" i="7"/>
  <c r="A9" i="7"/>
  <c r="C9" i="7"/>
  <c r="C7" i="7"/>
  <c r="A7" i="7"/>
  <c r="K8" i="8"/>
  <c r="B7" i="8"/>
  <c r="A7" i="8"/>
  <c r="B10" i="8"/>
  <c r="A10" i="8"/>
  <c r="B9" i="8"/>
  <c r="A9" i="8"/>
  <c r="B8" i="8"/>
  <c r="A8" i="8"/>
  <c r="G12" i="5"/>
  <c r="G11" i="5"/>
  <c r="G10" i="5"/>
  <c r="C3" i="8"/>
  <c r="C4" i="8"/>
  <c r="A3" i="9"/>
  <c r="A4" i="9"/>
  <c r="J4" i="9"/>
  <c r="I4" i="7"/>
  <c r="I5" i="7"/>
  <c r="D5" i="7"/>
  <c r="A5" i="7"/>
  <c r="L2" i="8"/>
  <c r="A31" i="8"/>
  <c r="B12" i="8"/>
  <c r="B13" i="8"/>
  <c r="B11" i="8"/>
  <c r="A12" i="8"/>
  <c r="A13" i="8"/>
  <c r="A11" i="8"/>
  <c r="G14" i="5"/>
  <c r="L12" i="8"/>
  <c r="E14" i="5" s="1"/>
  <c r="H14" i="5" s="1"/>
  <c r="F16" i="7"/>
  <c r="M16" i="7" s="1"/>
  <c r="G16" i="7"/>
  <c r="H16" i="7"/>
  <c r="H20" i="7"/>
  <c r="G20" i="7"/>
  <c r="I20" i="7"/>
  <c r="M20" i="7"/>
  <c r="G17" i="5"/>
  <c r="G19" i="5"/>
  <c r="G24" i="7"/>
  <c r="F24" i="7"/>
  <c r="M24" i="7"/>
  <c r="G22" i="7"/>
  <c r="M22" i="7"/>
  <c r="M18" i="7"/>
  <c r="J27" i="10"/>
  <c r="C23" i="10"/>
  <c r="E28" i="10"/>
  <c r="B23" i="10" s="1"/>
  <c r="F14" i="7"/>
  <c r="G14" i="7"/>
  <c r="M14" i="7"/>
  <c r="L30" i="8"/>
  <c r="E32" i="5"/>
  <c r="H32" i="5"/>
  <c r="L17" i="8"/>
  <c r="E19" i="5"/>
  <c r="H19" i="5" s="1"/>
  <c r="H28" i="5" l="1"/>
  <c r="I12" i="5"/>
  <c r="E8" i="7" s="1"/>
  <c r="L25" i="8"/>
  <c r="E27" i="5" s="1"/>
  <c r="H27" i="5" s="1"/>
  <c r="E17" i="5"/>
  <c r="H17" i="5" s="1"/>
  <c r="F8" i="7"/>
  <c r="K8" i="7"/>
  <c r="H8" i="7"/>
  <c r="G8" i="7"/>
  <c r="J8" i="7"/>
  <c r="I8" i="7"/>
  <c r="H26" i="5"/>
  <c r="E20" i="5"/>
  <c r="H20" i="5" s="1"/>
  <c r="H25" i="5"/>
  <c r="H24" i="5"/>
  <c r="H21" i="5"/>
  <c r="F18" i="10"/>
  <c r="F17" i="10"/>
  <c r="F21" i="10"/>
  <c r="L27" i="10"/>
  <c r="D23" i="10" s="1"/>
  <c r="G23" i="10"/>
  <c r="E23" i="10" s="1"/>
  <c r="E26" i="10" s="1"/>
  <c r="F24" i="10" s="1"/>
  <c r="I32" i="5" l="1"/>
  <c r="E12" i="7" s="1"/>
  <c r="M8" i="7"/>
  <c r="G12" i="7"/>
  <c r="F12" i="7"/>
  <c r="I12" i="7"/>
  <c r="H12" i="7"/>
  <c r="M12" i="7" l="1"/>
  <c r="I15" i="5" l="1"/>
  <c r="H33" i="5"/>
  <c r="J12" i="5" l="1"/>
  <c r="O8" i="8" s="1"/>
  <c r="J36" i="5"/>
  <c r="I7" i="5"/>
  <c r="M5" i="8" s="1"/>
  <c r="F4" i="7"/>
  <c r="E55" i="7"/>
  <c r="E10" i="7"/>
  <c r="I33" i="5"/>
  <c r="I10" i="7" l="1"/>
  <c r="I48" i="7" s="1"/>
  <c r="G10" i="7"/>
  <c r="G48" i="7" s="1"/>
  <c r="K10" i="7"/>
  <c r="K48" i="7" s="1"/>
  <c r="H10" i="7"/>
  <c r="H48" i="7" s="1"/>
  <c r="E48" i="7"/>
  <c r="F10" i="7"/>
  <c r="J10" i="7"/>
  <c r="J48" i="7" s="1"/>
  <c r="J47" i="7" l="1"/>
  <c r="M10" i="7"/>
  <c r="F48" i="7"/>
  <c r="H47" i="7"/>
  <c r="G47" i="7"/>
  <c r="G1" i="7" s="1"/>
  <c r="E7" i="7"/>
  <c r="E11" i="7"/>
  <c r="K47" i="7"/>
  <c r="E9" i="7"/>
  <c r="I47" i="7"/>
  <c r="E47" i="7" l="1"/>
  <c r="F47" i="7"/>
  <c r="L48" i="7"/>
  <c r="L47" i="7" l="1"/>
  <c r="F1" i="7"/>
</calcChain>
</file>

<file path=xl/sharedStrings.xml><?xml version="1.0" encoding="utf-8"?>
<sst xmlns="http://schemas.openxmlformats.org/spreadsheetml/2006/main" count="340" uniqueCount="242">
  <si>
    <t>ITEM</t>
  </si>
  <si>
    <t>DESCRIÇÃO</t>
  </si>
  <si>
    <t>PLANILHA ORÇAMENTÁRIA DE CUSTOS</t>
  </si>
  <si>
    <t>CÓDIGO</t>
  </si>
  <si>
    <t>INDIRETA</t>
  </si>
  <si>
    <t>LDI</t>
  </si>
  <si>
    <t>PREÇO TOTAL</t>
  </si>
  <si>
    <t>CREA</t>
  </si>
  <si>
    <t xml:space="preserve">FORMA DE EXECUÇÃO: </t>
  </si>
  <si>
    <t>Carimbo e assinatura do engenheiro responsável técnico pela elaboração da planilha</t>
  </si>
  <si>
    <t>Carimbo e assinatura do prefeito</t>
  </si>
  <si>
    <t>2.1</t>
  </si>
  <si>
    <t>(  X  )</t>
  </si>
  <si>
    <t>PREÇO UNIT C/ LDI</t>
  </si>
  <si>
    <t>PREÇO UNIT S/ LDI</t>
  </si>
  <si>
    <t>61/924 / D</t>
  </si>
  <si>
    <t>Eng. Civil WILSON DIAS DA FONSECA JÚNIOR</t>
  </si>
  <si>
    <t>UNID</t>
  </si>
  <si>
    <t>QUANTID</t>
  </si>
  <si>
    <t>CRONOGRAMA FÍSICO-FINANCEIRO</t>
  </si>
  <si>
    <t>ETAPAS/DESCRIÇÃO</t>
  </si>
  <si>
    <t>FÍSICO/ FINANCEIRO</t>
  </si>
  <si>
    <t>TOTAL  ETAPAS</t>
  </si>
  <si>
    <t>Físico %</t>
  </si>
  <si>
    <t>Financeiro</t>
  </si>
  <si>
    <t>TOTAL</t>
  </si>
  <si>
    <t xml:space="preserve"> </t>
  </si>
  <si>
    <t>Observações:</t>
  </si>
  <si>
    <t>Carimbo e assinatura do engenheiro responsável técnico pela elaboração do cronograma</t>
  </si>
  <si>
    <t>SERVIÇOS PRELIMINARES</t>
  </si>
  <si>
    <t>unid</t>
  </si>
  <si>
    <t>m</t>
  </si>
  <si>
    <t>m2</t>
  </si>
  <si>
    <t>PREFEITURA MUNICIPAL DE SANTA CRUZ DO ESCALVADO</t>
  </si>
  <si>
    <t xml:space="preserve">PREFEITURA MUNICIPAL DE SANTA CRUZ DO ESCALVADO </t>
  </si>
  <si>
    <t>MEMÓRIA DE CÁLCULO</t>
  </si>
  <si>
    <t>DISCRIMINAÇAO</t>
  </si>
  <si>
    <t>DOS SERVIÇOS</t>
  </si>
  <si>
    <t>WILSON DIAS FONSECA JR.</t>
  </si>
  <si>
    <t>Eng. Civil - Crea 61.924/D</t>
  </si>
  <si>
    <t xml:space="preserve">VALOR DA OBRA: </t>
  </si>
  <si>
    <t>TOTAL GERAL</t>
  </si>
  <si>
    <t>global</t>
  </si>
  <si>
    <t>2.2</t>
  </si>
  <si>
    <t>CALÇAMENTO TIPO BLOQUETE</t>
  </si>
  <si>
    <t>ED-16660</t>
  </si>
  <si>
    <t>r$/m2</t>
  </si>
  <si>
    <t>Descrição</t>
  </si>
  <si>
    <t>área de calçamento</t>
  </si>
  <si>
    <t>comprimento</t>
  </si>
  <si>
    <t>%</t>
  </si>
  <si>
    <t>ED-51139</t>
  </si>
  <si>
    <t>DRENAGEM PLUVIAL</t>
  </si>
  <si>
    <t>APILOAMENTO DO FUNDO DE VALAS COM PLACA VIBRATÓRIA</t>
  </si>
  <si>
    <t>REATERRO COMPACTADO DE VALA COM EQUIPAMENTO PLACA VIBRATÓRIA</t>
  </si>
  <si>
    <t>CHI</t>
  </si>
  <si>
    <t>m3</t>
  </si>
  <si>
    <t>ED-51094</t>
  </si>
  <si>
    <t>ED-51121</t>
  </si>
  <si>
    <t>MÊS 1</t>
  </si>
  <si>
    <t>MÊS 2</t>
  </si>
  <si>
    <t>MÊS 3</t>
  </si>
  <si>
    <t>MÊS 4</t>
  </si>
  <si>
    <t>MÊS 5</t>
  </si>
  <si>
    <t>MÊS 6</t>
  </si>
  <si>
    <t>Eng. Civil - CREA 61.924 / D</t>
  </si>
  <si>
    <t>Engenheiro Responsável pela FISCALIZAÇÃO</t>
  </si>
  <si>
    <t>SINAPI-102498</t>
  </si>
  <si>
    <t>PINTURA DE MEIO-FIO COM TINTA BRANCA A BASE DE CAL (CAIAÇÃO 2 demãos).</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</si>
  <si>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</si>
  <si>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ED-8914</t>
  </si>
  <si>
    <t>TUBO DE CONCRETO ARMADO, CLASSE PA1, DIÂMETRO DE 600MM, INCLUSIVE CARGA E DESCARGA MECÂNICA EM CAMINHÃO, ASSENTAMENTO E REJUNTAMENTO, EXCLUSIVE ESCAVAÇÃO E TRANSPORTE</t>
  </si>
  <si>
    <t>ED-9209</t>
  </si>
  <si>
    <r>
      <rPr>
        <b/>
        <sz val="17"/>
        <rFont val="Arial"/>
        <family val="2"/>
      </rPr>
      <t>PREFEITURA MUNICIPAL DE SANTA CRUZ DO ESCALVADO</t>
    </r>
    <r>
      <rPr>
        <sz val="10"/>
        <rFont val="Arial"/>
      </rPr>
      <t xml:space="preserve">
           </t>
    </r>
    <r>
      <rPr>
        <sz val="11"/>
        <rFont val="Arial"/>
        <family val="2"/>
      </rPr>
      <t xml:space="preserve"> </t>
    </r>
    <r>
      <rPr>
        <b/>
        <sz val="11"/>
        <rFont val="Arial"/>
        <family val="2"/>
      </rPr>
      <t>ESTADO DE MINAS GERAIS</t>
    </r>
    <r>
      <rPr>
        <b/>
        <sz val="10"/>
        <rFont val="Arial"/>
        <family val="2"/>
      </rPr>
      <t xml:space="preserve">
              </t>
    </r>
    <r>
      <rPr>
        <b/>
        <sz val="11"/>
        <rFont val="Arial"/>
        <family val="2"/>
      </rPr>
      <t>Adm. 2025-2028</t>
    </r>
    <r>
      <rPr>
        <sz val="10"/>
        <rFont val="Arial"/>
      </rPr>
      <t xml:space="preserve">
</t>
    </r>
  </si>
  <si>
    <r>
      <rPr>
        <b/>
        <sz val="17"/>
        <rFont val="Calibri"/>
        <family val="2"/>
      </rPr>
      <t>PREFEITURA MUNICIPAL DE SANTA CRUZ DO ESCALVADO</t>
    </r>
    <r>
      <rPr>
        <b/>
        <sz val="10"/>
        <rFont val="Calibri"/>
        <family val="2"/>
      </rPr>
      <t xml:space="preserve">
            </t>
    </r>
    <r>
      <rPr>
        <b/>
        <sz val="11"/>
        <rFont val="Calibri"/>
        <family val="2"/>
      </rPr>
      <t>ESTADO DE MINAS GERAIS
              Adm. 2025-2028</t>
    </r>
    <r>
      <rPr>
        <sz val="10"/>
        <rFont val="Arial"/>
        <family val="2"/>
      </rPr>
      <t xml:space="preserve">
</t>
    </r>
  </si>
  <si>
    <t>CHP</t>
  </si>
  <si>
    <t>ED-50389</t>
  </si>
  <si>
    <t>MOBILIZAÇÃO E DESMOBILIZAÇÃO OBRA DISTANTE DE CENTRO URBANO COM VALOR ATÉ 1.000.000,00</t>
  </si>
  <si>
    <t>ED-51110</t>
  </si>
  <si>
    <t>ED-51096</t>
  </si>
  <si>
    <t>volume aterro compactado</t>
  </si>
  <si>
    <t>volume de corte de terra</t>
  </si>
  <si>
    <t>ESCAVAÇÃO MANUAL DE TERRA (DESATERRO MANUAL), INCLUSIVE DESCARGA LATERAL, EXCLUSIVE RETIRADA E TRANSPORTE DO MATERIAL ESCAVADO, PARA TRAVAMENTO DO MEIO-FIO</t>
  </si>
  <si>
    <t xml:space="preserve"> 1 </t>
  </si>
  <si>
    <t xml:space="preserve">  </t>
  </si>
  <si>
    <t xml:space="preserve"> 1.1 </t>
  </si>
  <si>
    <t xml:space="preserve"> ED-21776 </t>
  </si>
  <si>
    <t>ENCARREGADO GERAL DE OBRAS COM ENCARGOS COMPLEMENTARES</t>
  </si>
  <si>
    <t>mês</t>
  </si>
  <si>
    <t xml:space="preserve"> 1.2</t>
  </si>
  <si>
    <t>ED-21777</t>
  </si>
  <si>
    <t>TÉCNICO EM SEGURANÇA DO TRABALHO COM ENCARGOS COMPLEMENTARES</t>
  </si>
  <si>
    <t xml:space="preserve"> 1.3</t>
  </si>
  <si>
    <t xml:space="preserve"> ED-21770 </t>
  </si>
  <si>
    <t>ENGENHEIRO CIVIL DE OBRA PLENO COM ENCARGOS COMPLEMENTARES</t>
  </si>
  <si>
    <t>3.1</t>
  </si>
  <si>
    <t>cronograma</t>
  </si>
  <si>
    <t>COMPACTAÇÃO MECANIZADA ATERRO COM PLACA VIBRATÓRIA, INCLUSIVE ESPALHAMENTO MANUAL, PARA TRAVAMENTO DO MEIO-FIO</t>
  </si>
  <si>
    <t>COMPOSIÇÃO ANALÍTICA DE LDI OU BDI</t>
  </si>
  <si>
    <t xml:space="preserve">Nº do Contrato de Repasse: </t>
  </si>
  <si>
    <t xml:space="preserve">Proponente: </t>
  </si>
  <si>
    <t xml:space="preserve">Empreendimento: </t>
  </si>
  <si>
    <t>Tipo de Obra:</t>
  </si>
  <si>
    <t>Construção de Rodovias (Pavimentação Urbana)</t>
  </si>
  <si>
    <t>Base de Cálculo do ISS da Prefeitura:</t>
  </si>
  <si>
    <t>Orçamento Desonerado? (Sim ou Não)</t>
  </si>
  <si>
    <t>sim</t>
  </si>
  <si>
    <t>VALORES DE REFERÊNCIA - %</t>
  </si>
  <si>
    <t>BDI ADOTADO - %</t>
  </si>
  <si>
    <t>(1° Quartil)</t>
  </si>
  <si>
    <t>MÉDIA</t>
  </si>
  <si>
    <t>(3° Quartil)</t>
  </si>
  <si>
    <t>Administração Central</t>
  </si>
  <si>
    <t>Seguros e Garantias (*)</t>
  </si>
  <si>
    <t>Riscos</t>
  </si>
  <si>
    <t>Despesas Financeiras</t>
  </si>
  <si>
    <t>Lucro</t>
  </si>
  <si>
    <t>COFINS</t>
  </si>
  <si>
    <t>PIS</t>
  </si>
  <si>
    <t>ISS (**)</t>
  </si>
  <si>
    <t>LIMITE BDI C/ DESONERAÇÃO</t>
  </si>
  <si>
    <t>LIMITE BDI S/ DESONERAÇÃO</t>
  </si>
  <si>
    <t>Fonte da composição, valores de referência e fórmula do BDI:  Acórdão 2622/2013-TCU-Plenário</t>
  </si>
  <si>
    <t>Desoneração: Lei n°13.161/2015</t>
  </si>
  <si>
    <t>Verificação do  BDI:</t>
  </si>
  <si>
    <t>BDI S/ DESN</t>
  </si>
  <si>
    <t>BDI C/ DESN</t>
  </si>
  <si>
    <t>Os valores de BDI acima foram calculados com emprego da fórmula abaixo:</t>
  </si>
  <si>
    <t>Onde:</t>
  </si>
  <si>
    <t>AC = taxa de rateio da Administração Central;</t>
  </si>
  <si>
    <t>DF = taxa das despesas financeiras;</t>
  </si>
  <si>
    <t>R, S, G = taxa de risco, seguro e garantia do empreendimento;</t>
  </si>
  <si>
    <t>I = taxa de tributos (Onerado: I = COFINS+PIS+ISS / Desonerado: I = COFINS+PIS+ISS+CPRB);</t>
  </si>
  <si>
    <t>L = taxa de lucro.</t>
  </si>
  <si>
    <t>Profissional:Antonio Carlos Rodrigues de Abreu</t>
  </si>
  <si>
    <t>Resp. Tomador:</t>
  </si>
  <si>
    <t>CREA/CAU: 20.146/D-MG</t>
  </si>
  <si>
    <t>Cargo:</t>
  </si>
  <si>
    <t>Sigla S/N</t>
  </si>
  <si>
    <t>SIM</t>
  </si>
  <si>
    <t>NÃO</t>
  </si>
  <si>
    <t>AC</t>
  </si>
  <si>
    <t>SG</t>
  </si>
  <si>
    <t>R</t>
  </si>
  <si>
    <t>DF</t>
  </si>
  <si>
    <t>L</t>
  </si>
  <si>
    <t>ISS</t>
  </si>
  <si>
    <t>DESON.</t>
  </si>
  <si>
    <t>LIMITE BDI</t>
  </si>
  <si>
    <t>Sigla Obras</t>
  </si>
  <si>
    <t>MÍN</t>
  </si>
  <si>
    <t>MED</t>
  </si>
  <si>
    <t>MAX</t>
  </si>
  <si>
    <t>Construção de Edifícios e Reformas (Quadras, unidades habitacionais, escolas, restaurantes, etc)</t>
  </si>
  <si>
    <t>Construção de Praças</t>
  </si>
  <si>
    <t>Construção de Ferrovias</t>
  </si>
  <si>
    <t>Construção de Redes de Abastecimento de Água, Coleta de Esgoto e Construções Correlatas</t>
  </si>
  <si>
    <t>Construção e Manutenção de Estações e Redes de Distribuição de Energia Elétrica</t>
  </si>
  <si>
    <t>Portuárias, Marítimas e Fluviais</t>
  </si>
  <si>
    <t>Fornecimento de Materiais e Equipamentos</t>
  </si>
  <si>
    <t>SINAPI-5678</t>
  </si>
  <si>
    <t>SINAPI-5679</t>
  </si>
  <si>
    <t xml:space="preserve">           </t>
  </si>
  <si>
    <t>RETROESCAVADEIRA SOBRE RODAS C/ CARREGADEIRA, TRAÇÃO 4X4, POTÊNCIA LÍQ. 88 HP, CAÇAMBA CARREG. CAP. MÍN. 1 M3, CAÇAMBA RETRO CAP. 0,26 M3, PESO OPERACIONAL MÍN. 6.674 KG, PROFUND ESCAVAÇÃO MÁX. 4,37 M - CHI DIURNO</t>
  </si>
  <si>
    <t>RETROESCAVADEIRA SOBRE RODAS C/ CARREGADEIRA, TRAÇÃO 4X4, POTÊNCIA LÍQ. 88 HP, CAÇAMBA CARREG. CAP. MÍN. 1 M3, CAÇAMBA RETRO CAP. 0,26 M3, PESO OPERACIONAL MÍN. 6.674 KG, PROFUND ESCAVAÇÃO MÁX. 4,37 M - CHP DIURNO</t>
  </si>
  <si>
    <t>ESTIMATIVA DE HORAS IMPRODUTIVAS</t>
  </si>
  <si>
    <t>ESTIMATIVA DE HORAS PRODUTIVAS</t>
  </si>
  <si>
    <t>estimativa de horas</t>
  </si>
  <si>
    <t>comprimento x largura = comprimento x 1,3</t>
  </si>
  <si>
    <t>área</t>
  </si>
  <si>
    <t>TUBO 600mm=(comprimentox1,5x1,4)-(comprimentox3,14x0,6x0,6x0,25)</t>
  </si>
  <si>
    <t>SINAPI-103801</t>
  </si>
  <si>
    <t>CONCRETAGEM DE DISSIPADOR DE ENERGIA, FCK = 20 MPA, COM USO DE JERICAS E PREPARO EM BETONEIRA DE 600 L - AREIA E BRITA COMERCIAIS - LANÇAMENTO, ADENSAMENTO E ACABAMENTO. AF_08/2022</t>
  </si>
  <si>
    <t>ED-49926</t>
  </si>
  <si>
    <t>quantidade</t>
  </si>
  <si>
    <t>dimensões = C=2,40m / L= 2,42 / d=0,30  / e=0,15</t>
  </si>
  <si>
    <t>DISSIPADOR DE ENERGIA</t>
  </si>
  <si>
    <t>ED-8471</t>
  </si>
  <si>
    <t>FÔRMA E DESFORMA DE TÁBUA E SARRAFO, REAPROVEITAMENTO (5X), EXCLUSIVE ESCORAMENTO</t>
  </si>
  <si>
    <t>SINAPI-103800</t>
  </si>
  <si>
    <t>PEDRA ARGAMASSADA COM CIMENTO E AREIA 1:3, 40% DE ARGAMASSA EM VOLUME - AREIA E PEDRA DE MÃO COMERCIAIS - FORNECIMENTO E ASSENTAMENTO. AF_08/2022</t>
  </si>
  <si>
    <t>ASSENTAMENTO GUIA DE MEIO-FIO, CONCRETO C/ FCK 20MPA, PRÉ-MOLDADA, MFC-01 PADRÃO DER-MG, DIMENSÕES (12X16,7X35)CM, INCL ESCAVAÇÃO, APILOAMENTO, REJUNTAMENTO E TRANSPORTE COM RETIRADA DO MATERIAL ESCAVADO</t>
  </si>
  <si>
    <t>3.2</t>
  </si>
  <si>
    <t>3.3</t>
  </si>
  <si>
    <t>3.4</t>
  </si>
  <si>
    <t>área = 1,00 x 2,00</t>
  </si>
  <si>
    <t>FOLHA Nº:  01/01</t>
  </si>
  <si>
    <t>RELATÓRIO FOTOGRÁFICO - ANTES DA EXECUÇÃO</t>
  </si>
  <si>
    <t>MATED-11977</t>
  </si>
  <si>
    <t>PISO INTERTRAVADO (MODELO: SEXTAVADO|DIMENSÕES: (25X25)CM|ESPESSURA: 8CM|RESISTÊNCIA MÍNIMA (FCK): 35MPA|MATERIAL: CONCRETO|PESO DO BLOCO*: 9,7KG|PESO POR ÁREA*: 180KG/M2)*VALORES REFERENCIAIS APROXIMADOS</t>
  </si>
  <si>
    <t>MATED-11248</t>
  </si>
  <si>
    <t>AREIA LAVADA POSTO OBRA (TIPO: MÉDIA)</t>
  </si>
  <si>
    <t>CONSUMO DE AREIA POR M2</t>
  </si>
  <si>
    <t>m3/m2</t>
  </si>
  <si>
    <t>valor da areia por m2 de bloquete</t>
  </si>
  <si>
    <t>MATED-12870</t>
  </si>
  <si>
    <t>MEIO-FIO</t>
  </si>
  <si>
    <t>meio-fio</t>
  </si>
  <si>
    <t>bloquete</t>
  </si>
  <si>
    <t xml:space="preserve">EXEC PAVIMENTO PISO INTERTRAVADO, TIPO SEXTAVADO, ESP. 8CM, FCK 35MPA, DIMENSÕES 30X30CM INCL COLCHÃO DE AREIA, ESP. 6CM, P/ ASSENTAMENTO, COMPACTAÇÃO MECANIZADA, CARGA DESCARGA MECÂNICA CAMINHÃO, EXCL TRANSPORTE PISO INTERTRAVADO </t>
  </si>
  <si>
    <t>3.5</t>
  </si>
  <si>
    <t>3.6</t>
  </si>
  <si>
    <t>3.6.1</t>
  </si>
  <si>
    <t>3.6.2</t>
  </si>
  <si>
    <t>3.6.3</t>
  </si>
  <si>
    <t>3.6.4</t>
  </si>
  <si>
    <t>3.6.5</t>
  </si>
  <si>
    <t>3.6.6</t>
  </si>
  <si>
    <t>3.7</t>
  </si>
  <si>
    <t>3.7.1</t>
  </si>
  <si>
    <t>3.7.2</t>
  </si>
  <si>
    <t>3.7.3</t>
  </si>
  <si>
    <t>unidades</t>
  </si>
  <si>
    <t>ADMINISTRAÇÃO LOCAL</t>
  </si>
  <si>
    <t>COORD: (ponto "1")</t>
  </si>
  <si>
    <t>LON &gt;&gt;&gt; -42.794800°</t>
  </si>
  <si>
    <t>LAT &gt;&gt;&gt; -20.256440°</t>
  </si>
  <si>
    <t>(2 meses x 4 semanas x 5 dias x 7 horas) / 220 horas</t>
  </si>
  <si>
    <t>(2 meses x 4 semanas x 5 dias x 0,1 horas) / 220 horas</t>
  </si>
  <si>
    <t>TUBO 600mm = 1 trecho com 8,00m</t>
  </si>
  <si>
    <t>volume de concreto 0,88m3 x quantidade 1unid</t>
  </si>
  <si>
    <t>área de fôrmas 5,25m2 x quantidade 1unid</t>
  </si>
  <si>
    <t>volume de pedra 1,28m3 x quantidade 1unid</t>
  </si>
  <si>
    <t>61.924 / D</t>
  </si>
  <si>
    <t>caixa completa</t>
  </si>
  <si>
    <t>EMOP 20.028.0020-0</t>
  </si>
  <si>
    <t>incluir tampa concreto 0,90x0,90 m2</t>
  </si>
  <si>
    <t>valor na ED-49926</t>
  </si>
  <si>
    <t>tirar grelha metálica</t>
  </si>
  <si>
    <t>VALOR FINAL CAIXA</t>
  </si>
  <si>
    <t>COMPOSIÇÃO</t>
  </si>
  <si>
    <t>CAIXA DRENAGEM INSPEÇÃO/PASSAGEM EM ALVENARIA (80X80X140CM), REVESTIMENTO EM ARGAMASSA C/ ADITIVO IMPERMEABILIZANTE, C/ TAMPA CONCRETO, INCL ESCAVAÇÃO, REATERRO E TRANSPORTE C/ RETIRADA DO MATERIAL ESCAVADO</t>
  </si>
  <si>
    <t>entre 3,49 e 8,87%</t>
  </si>
  <si>
    <t>DATA: 30/07/26</t>
  </si>
  <si>
    <t>comprimento = 328,30+93,90+15,70+253,30+(4,50x3)</t>
  </si>
  <si>
    <t>área = (329,00+15,00) x 4,50</t>
  </si>
  <si>
    <t>volume de corte estimado = 344,00 x 0,50 x 0,25 x 2 lados</t>
  </si>
  <si>
    <t>volume de aterro estimado = 344,00 x 0,50 x 0,25 x 2 lados</t>
  </si>
  <si>
    <r>
      <t xml:space="preserve">OBRA: </t>
    </r>
    <r>
      <rPr>
        <sz val="9"/>
        <color indexed="8"/>
        <rFont val="Arial"/>
        <family val="2"/>
      </rPr>
      <t>Execução de calçamento tipo bloquete</t>
    </r>
  </si>
  <si>
    <r>
      <t>LOCAL:</t>
    </r>
    <r>
      <rPr>
        <sz val="9"/>
        <color indexed="8"/>
        <rFont val="Arial"/>
        <family val="2"/>
      </rPr>
      <t xml:space="preserve"> Trecho de estrada vicinal na Comunidade de Córrego do Matodentro TRECHO 2, Zona Rural do Município de Santa Cruz do Escalvado (MG)</t>
    </r>
  </si>
  <si>
    <r>
      <t xml:space="preserve">MÊS DE REFERÊNCIA: </t>
    </r>
    <r>
      <rPr>
        <sz val="9"/>
        <color indexed="8"/>
        <rFont val="Arial"/>
        <family val="2"/>
      </rPr>
      <t>SETOP-04/26 DESONERADO /// SINAPI-06/26 DESONERADO</t>
    </r>
  </si>
  <si>
    <r>
      <t xml:space="preserve">PRAZO EXECUÇÃO:  </t>
    </r>
    <r>
      <rPr>
        <sz val="9"/>
        <color indexed="8"/>
        <rFont val="Arial"/>
        <family val="2"/>
      </rPr>
      <t>02 (dois)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</si>
</sst>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R$ &quot;* #,##0.00_);_(&quot;R$ &quot;* \(#,##0.00\);_(&quot;R$ &quot;* &quot;-&quot;??_);_(@_)"/>
    <numFmt numFmtId="165" formatCode="_(* #,##0.00_);_(* \(#,##0.00\);_(* &quot;-&quot;??_);_(@_)"/>
    <numFmt numFmtId="166" formatCode="&quot;R$ &quot;#,##0.00"/>
    <numFmt numFmtId="167" formatCode="[$-416]mmm\-yy;@"/>
    <numFmt numFmtId="168" formatCode="&quot;R$&quot;\ #,##0.00"/>
    <numFmt numFmtId="169" formatCode="#0.0000"/>
    <numFmt numFmtId="170" formatCode="##0.0000"/>
    <numFmt numFmtId="171" formatCode="_-&quot;R$ &quot;* #,##0.00_-;&quot;-R$ &quot;* #,##0.00_-;_-&quot;R$ &quot;* \-??_-;_-@_-"/>
    <numFmt numFmtId="172" formatCode="_(* #,##0.00_);_(* \(#,##0.00\);_(* \-??_);_(@_)"/>
    <numFmt numFmtId="173" formatCode="_-* #,##0.00_-;\-* #,##0.00_-;_-* \-???_-;_-@_-"/>
  </numFmts>
  <fonts count="53" x14ac:knownFonts="1">
    <font>
      <sz val="10"/>
      <name val="Arial"/>
    </font>
    <font>
      <sz val="10"/>
      <name val="Arial"/>
    </font>
    <font>
      <sz val="8"/>
      <name val="Arial"/>
      <family val="2"/>
    </font>
    <font>
      <b/>
      <sz val="10"/>
      <name val="Arial"/>
      <family val="2"/>
    </font>
    <font>
      <u/>
      <sz val="7.5"/>
      <color indexed="12"/>
      <name val="Arial"/>
      <family val="2"/>
    </font>
    <font>
      <sz val="10"/>
      <name val="Arial"/>
      <family val="2"/>
    </font>
    <font>
      <sz val="9"/>
      <color indexed="8"/>
      <name val="Arial"/>
      <family val="2"/>
    </font>
    <font>
      <sz val="10"/>
      <color indexed="8"/>
      <name val="Arial"/>
      <family val="2"/>
    </font>
    <font>
      <b/>
      <sz val="10"/>
      <color indexed="8"/>
      <name val="Arial"/>
      <family val="2"/>
    </font>
    <font>
      <b/>
      <sz val="8"/>
      <color indexed="8"/>
      <name val="Arial"/>
      <family val="2"/>
    </font>
    <font>
      <sz val="8"/>
      <color indexed="8"/>
      <name val="Arial"/>
      <family val="2"/>
    </font>
    <font>
      <b/>
      <sz val="9"/>
      <color indexed="8"/>
      <name val="Arial"/>
      <family val="2"/>
    </font>
    <font>
      <sz val="9.5"/>
      <color indexed="8"/>
      <name val="Arial"/>
      <family val="2"/>
    </font>
    <font>
      <sz val="10"/>
      <color indexed="8"/>
      <name val="Arial"/>
      <family val="2"/>
    </font>
    <font>
      <sz val="10"/>
      <name val="Arial"/>
      <family val="2"/>
    </font>
    <font>
      <sz val="9"/>
      <name val="Arial"/>
      <family val="2"/>
    </font>
    <font>
      <b/>
      <sz val="9"/>
      <name val="Arial"/>
      <family val="2"/>
    </font>
    <font>
      <sz val="18"/>
      <name val="Times New Roman"/>
      <family val="1"/>
    </font>
    <font>
      <b/>
      <sz val="8.5"/>
      <name val="Arial"/>
      <family val="2"/>
    </font>
    <font>
      <sz val="8.5"/>
      <name val="Arial"/>
      <family val="2"/>
    </font>
    <font>
      <b/>
      <sz val="12"/>
      <name val="Times New Roman"/>
      <family val="1"/>
    </font>
    <font>
      <sz val="10"/>
      <color indexed="10"/>
      <name val="Arial"/>
      <family val="2"/>
    </font>
    <font>
      <sz val="11"/>
      <name val="Arial"/>
      <family val="2"/>
    </font>
    <font>
      <b/>
      <sz val="17"/>
      <name val="Arial"/>
      <family val="2"/>
    </font>
    <font>
      <b/>
      <sz val="11"/>
      <name val="Arial"/>
      <family val="2"/>
    </font>
    <font>
      <b/>
      <sz val="10"/>
      <name val="Calibri"/>
      <family val="2"/>
    </font>
    <font>
      <b/>
      <sz val="17"/>
      <name val="Calibri"/>
      <family val="2"/>
    </font>
    <font>
      <b/>
      <sz val="11"/>
      <name val="Calibri"/>
      <family val="2"/>
    </font>
    <font>
      <b/>
      <sz val="8"/>
      <name val="Arial"/>
      <family val="2"/>
    </font>
    <font>
      <sz val="8"/>
      <name val="Arial"/>
      <family val="2"/>
    </font>
    <font>
      <sz val="12"/>
      <name val="Times New Roman"/>
      <family val="1"/>
    </font>
    <font>
      <sz val="10"/>
      <color indexed="10"/>
      <name val="Times New Roman"/>
      <family val="1"/>
    </font>
    <font>
      <sz val="12"/>
      <color indexed="10"/>
      <name val="Times New Roman"/>
      <family val="1"/>
    </font>
    <font>
      <b/>
      <sz val="6"/>
      <name val="Times New Roman"/>
      <family val="1"/>
    </font>
    <font>
      <sz val="6"/>
      <name val="Times New Roman"/>
      <family val="1"/>
    </font>
    <font>
      <b/>
      <sz val="10"/>
      <name val="Times New Roman"/>
      <family val="1"/>
    </font>
    <font>
      <sz val="10"/>
      <name val="Times New Roman"/>
      <family val="1"/>
    </font>
    <font>
      <sz val="10"/>
      <color indexed="18"/>
      <name val="Times New Roman"/>
      <family val="1"/>
    </font>
    <font>
      <sz val="10"/>
      <color indexed="55"/>
      <name val="Times New Roman"/>
      <family val="1"/>
    </font>
    <font>
      <sz val="10"/>
      <color indexed="22"/>
      <name val="Times New Roman"/>
      <family val="1"/>
    </font>
    <font>
      <sz val="6"/>
      <color indexed="54"/>
      <name val="Times New Roman"/>
      <family val="1"/>
    </font>
    <font>
      <sz val="6"/>
      <color indexed="22"/>
      <name val="Times New Roman"/>
      <family val="1"/>
    </font>
    <font>
      <sz val="6"/>
      <color indexed="55"/>
      <name val="Times New Roman"/>
      <family val="1"/>
    </font>
    <font>
      <sz val="10"/>
      <color indexed="9"/>
      <name val="Times New Roman"/>
      <family val="1"/>
    </font>
    <font>
      <sz val="11"/>
      <name val="Times New Roman"/>
      <family val="1"/>
    </font>
    <font>
      <u/>
      <sz val="11"/>
      <name val="Times New Roman"/>
      <family val="1"/>
    </font>
    <font>
      <b/>
      <sz val="12"/>
      <color indexed="18"/>
      <name val="Times New Roman"/>
      <family val="1"/>
    </font>
    <font>
      <sz val="6"/>
      <color indexed="18"/>
      <name val="Times New Roman"/>
      <family val="1"/>
    </font>
    <font>
      <i/>
      <sz val="11"/>
      <name val="Times New Roman"/>
      <family val="1"/>
    </font>
    <font>
      <b/>
      <sz val="8"/>
      <color rgb="FF000000"/>
      <name val="Arial"/>
      <family val="2"/>
    </font>
    <font>
      <sz val="8"/>
      <color rgb="FF000000"/>
      <name val="Arial"/>
      <family val="2"/>
    </font>
    <font>
      <sz val="10"/>
      <name val="Arial"/>
    </font>
    <font>
      <sz val="8"/>
      <name val="Arial"/>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hair">
        <color auto="1"/>
      </left>
      <right style="hair">
        <color auto="1"/>
      </right>
      <top style="hair">
        <color auto="1"/>
      </top>
      <bottom style="hair">
        <color auto="1"/>
      </bottom>
      <diagonal/>
    </border>
  </borders>
  <cellStyleXfs count="14">
    <xf numFmtId="0" fontId="0" fillId="0" borderId="0"/>
    <xf numFmtId="0" fontId="4"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71" fontId="51" fillId="0" borderId="0"/>
  </cellStyleXfs>
  <cellXfs count="404">
    <xf numFmtId="0" fontId="0" fillId="0" borderId="0" xfId="0"/>
    <xf numFmtId="0" fontId="7" fillId="0" borderId="0" xfId="0" applyFont="1"/>
    <xf numFmtId="0" fontId="9" fillId="0" borderId="0" xfId="0" applyFont="1" applyAlignment="1">
      <alignment horizontal="center" vertical="center" wrapText="1"/>
    </xf>
    <xf numFmtId="4" fontId="9" fillId="0" borderId="0" xfId="0" applyNumberFormat="1" applyFont="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1" fillId="0" borderId="1" xfId="0" applyFont="1" applyBorder="1" applyAlignment="1">
      <alignment horizontal="center" vertical="center"/>
    </xf>
    <xf numFmtId="165" fontId="12" fillId="0" borderId="0" xfId="11" applyFont="1" applyAlignment="1">
      <alignment horizontal="center"/>
    </xf>
    <xf numFmtId="0" fontId="0" fillId="2" borderId="0" xfId="0" applyFill="1"/>
    <xf numFmtId="0" fontId="0" fillId="2" borderId="0" xfId="0" applyFill="1" applyAlignment="1">
      <alignment wrapText="1"/>
    </xf>
    <xf numFmtId="10" fontId="0" fillId="2" borderId="0" xfId="0" applyNumberFormat="1" applyFill="1"/>
    <xf numFmtId="0" fontId="5" fillId="2" borderId="0" xfId="0" applyFont="1" applyFill="1"/>
    <xf numFmtId="0" fontId="0" fillId="0" borderId="5" xfId="0" applyBorder="1" applyAlignment="1">
      <alignment vertical="center"/>
    </xf>
    <xf numFmtId="0" fontId="3" fillId="2" borderId="0" xfId="0" applyFont="1" applyFill="1" applyAlignment="1">
      <alignment wrapText="1"/>
    </xf>
    <xf numFmtId="0" fontId="0" fillId="0" borderId="6" xfId="0" applyBorder="1" applyAlignment="1">
      <alignment vertical="center"/>
    </xf>
    <xf numFmtId="0" fontId="3" fillId="2" borderId="7" xfId="0" applyFont="1" applyFill="1" applyBorder="1"/>
    <xf numFmtId="0" fontId="2" fillId="0" borderId="6" xfId="0" applyFont="1" applyBorder="1" applyAlignment="1">
      <alignment vertical="center"/>
    </xf>
    <xf numFmtId="0" fontId="0" fillId="2" borderId="7" xfId="0" applyFill="1" applyBorder="1"/>
    <xf numFmtId="0" fontId="0" fillId="2" borderId="6" xfId="0" applyFill="1" applyBorder="1"/>
    <xf numFmtId="0" fontId="16" fillId="2" borderId="0" xfId="0" applyFont="1" applyFill="1" applyAlignment="1">
      <alignment wrapText="1"/>
    </xf>
    <xf numFmtId="0" fontId="3" fillId="2" borderId="0" xfId="0" applyFont="1" applyFill="1" applyAlignment="1">
      <alignment horizontal="right"/>
    </xf>
    <xf numFmtId="0" fontId="0" fillId="2" borderId="8" xfId="0" applyFill="1" applyBorder="1"/>
    <xf numFmtId="0" fontId="3" fillId="2" borderId="1" xfId="0" applyFont="1" applyFill="1" applyBorder="1" applyAlignment="1">
      <alignment horizontal="center" vertical="center"/>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13" xfId="0" applyFont="1" applyFill="1" applyBorder="1" applyAlignment="1">
      <alignment wrapText="1"/>
    </xf>
    <xf numFmtId="0" fontId="0" fillId="2" borderId="11" xfId="0" applyFill="1" applyBorder="1"/>
    <xf numFmtId="0" fontId="0" fillId="2" borderId="12" xfId="0" applyFill="1" applyBorder="1"/>
    <xf numFmtId="0" fontId="0" fillId="2" borderId="13" xfId="0" applyFill="1" applyBorder="1"/>
    <xf numFmtId="0" fontId="3" fillId="2" borderId="7" xfId="0" applyFont="1" applyFill="1" applyBorder="1" applyAlignment="1">
      <alignment wrapText="1"/>
    </xf>
    <xf numFmtId="0" fontId="15" fillId="2" borderId="6" xfId="0" applyFont="1" applyFill="1" applyBorder="1"/>
    <xf numFmtId="0" fontId="16" fillId="2" borderId="7" xfId="0" applyFont="1" applyFill="1" applyBorder="1"/>
    <xf numFmtId="0" fontId="15" fillId="2" borderId="14" xfId="0" applyFont="1" applyFill="1" applyBorder="1"/>
    <xf numFmtId="0" fontId="15" fillId="2" borderId="5" xfId="0" applyFont="1" applyFill="1" applyBorder="1" applyAlignment="1">
      <alignment wrapText="1"/>
    </xf>
    <xf numFmtId="0" fontId="0" fillId="2" borderId="5" xfId="0" applyFill="1" applyBorder="1"/>
    <xf numFmtId="0" fontId="0" fillId="2" borderId="15" xfId="0" applyFill="1" applyBorder="1"/>
    <xf numFmtId="0" fontId="0" fillId="2" borderId="14" xfId="0" applyFill="1" applyBorder="1"/>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2" borderId="0" xfId="0" applyFill="1" applyAlignment="1">
      <alignment vertical="center"/>
    </xf>
    <xf numFmtId="10" fontId="15" fillId="2" borderId="0" xfId="0" applyNumberFormat="1" applyFont="1" applyFill="1"/>
    <xf numFmtId="4" fontId="15" fillId="2" borderId="0" xfId="0" applyNumberFormat="1" applyFont="1" applyFill="1"/>
    <xf numFmtId="0" fontId="5" fillId="0" borderId="0" xfId="3"/>
    <xf numFmtId="0" fontId="15" fillId="0" borderId="0" xfId="3" applyFont="1"/>
    <xf numFmtId="2" fontId="15" fillId="0" borderId="0" xfId="3" applyNumberFormat="1" applyFont="1" applyAlignment="1">
      <alignment horizontal="center"/>
    </xf>
    <xf numFmtId="2" fontId="15" fillId="0" borderId="0" xfId="3" applyNumberFormat="1" applyFont="1" applyAlignment="1">
      <alignment horizontal="center" vertical="center"/>
    </xf>
    <xf numFmtId="0" fontId="5" fillId="0" borderId="0" xfId="3" applyAlignment="1">
      <alignment vertical="center"/>
    </xf>
    <xf numFmtId="167" fontId="3" fillId="0" borderId="0" xfId="3" applyNumberFormat="1" applyFont="1"/>
    <xf numFmtId="14" fontId="3" fillId="0" borderId="0" xfId="3" applyNumberFormat="1" applyFont="1" applyAlignment="1">
      <alignment horizontal="left"/>
    </xf>
    <xf numFmtId="0" fontId="15" fillId="0" borderId="0" xfId="3" applyFont="1" applyAlignment="1">
      <alignment horizontal="left" vertical="center"/>
    </xf>
    <xf numFmtId="165" fontId="15" fillId="0" borderId="0" xfId="9" applyFont="1" applyBorder="1" applyAlignment="1">
      <alignment vertical="center"/>
    </xf>
    <xf numFmtId="0" fontId="5" fillId="0" borderId="0" xfId="3" applyAlignment="1">
      <alignment horizontal="center" vertical="center"/>
    </xf>
    <xf numFmtId="165" fontId="15" fillId="0" borderId="0" xfId="9" applyFont="1" applyBorder="1" applyAlignment="1">
      <alignment horizontal="center" vertical="center"/>
    </xf>
    <xf numFmtId="165" fontId="15" fillId="0" borderId="0" xfId="9" applyFont="1" applyFill="1" applyBorder="1" applyAlignment="1">
      <alignment horizontal="center" vertical="center"/>
    </xf>
    <xf numFmtId="0" fontId="5" fillId="0" borderId="0" xfId="3" applyAlignment="1">
      <alignment horizontal="center"/>
    </xf>
    <xf numFmtId="0" fontId="20" fillId="0" borderId="0" xfId="3" applyFont="1" applyAlignment="1">
      <alignment horizontal="left"/>
    </xf>
    <xf numFmtId="165" fontId="5" fillId="0" borderId="0" xfId="9" applyAlignment="1">
      <alignment horizontal="center"/>
    </xf>
    <xf numFmtId="0" fontId="20" fillId="0" borderId="0" xfId="3" applyFont="1" applyAlignment="1">
      <alignment horizontal="center"/>
    </xf>
    <xf numFmtId="165" fontId="5" fillId="0" borderId="0" xfId="9"/>
    <xf numFmtId="0" fontId="21" fillId="0" borderId="0" xfId="3" applyFont="1" applyAlignment="1">
      <alignment horizontal="left"/>
    </xf>
    <xf numFmtId="2" fontId="5" fillId="0" borderId="0" xfId="9" applyNumberFormat="1" applyFont="1" applyBorder="1" applyAlignment="1">
      <alignment horizontal="right"/>
    </xf>
    <xf numFmtId="2" fontId="5" fillId="0" borderId="0" xfId="9" applyNumberFormat="1" applyBorder="1" applyAlignment="1">
      <alignment horizontal="right"/>
    </xf>
    <xf numFmtId="165" fontId="7" fillId="0" borderId="0" xfId="11" applyFont="1" applyBorder="1" applyAlignment="1">
      <alignment vertical="center"/>
    </xf>
    <xf numFmtId="165" fontId="7" fillId="0" borderId="0" xfId="11" applyFont="1"/>
    <xf numFmtId="165" fontId="12" fillId="0" borderId="0" xfId="11" applyFont="1" applyAlignment="1">
      <alignment horizontal="left"/>
    </xf>
    <xf numFmtId="43" fontId="7" fillId="0" borderId="0" xfId="0" applyNumberFormat="1" applyFont="1"/>
    <xf numFmtId="49" fontId="17" fillId="0" borderId="0" xfId="3" applyNumberFormat="1" applyFont="1" applyAlignment="1">
      <alignment vertical="center"/>
    </xf>
    <xf numFmtId="0" fontId="2" fillId="0" borderId="16" xfId="3" applyFont="1" applyBorder="1" applyAlignment="1">
      <alignment horizontal="center" vertical="center"/>
    </xf>
    <xf numFmtId="165" fontId="10" fillId="0" borderId="9" xfId="10" applyFont="1" applyFill="1" applyBorder="1" applyAlignment="1">
      <alignment vertical="center"/>
    </xf>
    <xf numFmtId="0" fontId="13" fillId="0" borderId="0" xfId="0" applyFont="1"/>
    <xf numFmtId="2" fontId="7" fillId="0" borderId="0" xfId="11" applyNumberFormat="1" applyFont="1" applyBorder="1" applyAlignment="1">
      <alignment horizontal="center"/>
    </xf>
    <xf numFmtId="2" fontId="7" fillId="0" borderId="0" xfId="0" applyNumberFormat="1" applyFont="1" applyAlignment="1">
      <alignment horizontal="center"/>
    </xf>
    <xf numFmtId="165" fontId="0" fillId="2" borderId="1" xfId="11" applyFont="1" applyFill="1" applyBorder="1" applyAlignment="1">
      <alignment wrapText="1"/>
    </xf>
    <xf numFmtId="0" fontId="6" fillId="0" borderId="0" xfId="0" applyFont="1"/>
    <xf numFmtId="0" fontId="2" fillId="0" borderId="1" xfId="3" applyFont="1" applyBorder="1" applyAlignment="1">
      <alignment horizontal="center" vertical="center"/>
    </xf>
    <xf numFmtId="165" fontId="2" fillId="2" borderId="1" xfId="11" applyFont="1" applyFill="1" applyBorder="1"/>
    <xf numFmtId="0" fontId="15" fillId="0" borderId="0" xfId="3" applyFont="1" applyAlignment="1">
      <alignment vertical="center"/>
    </xf>
    <xf numFmtId="43" fontId="15" fillId="0" borderId="0" xfId="3" applyNumberFormat="1" applyFont="1" applyAlignment="1">
      <alignment vertical="center"/>
    </xf>
    <xf numFmtId="165" fontId="6" fillId="0" borderId="0" xfId="11" applyFont="1" applyBorder="1" applyAlignment="1">
      <alignment horizontal="center" vertical="center"/>
    </xf>
    <xf numFmtId="0" fontId="7" fillId="0" borderId="0" xfId="4" applyFont="1"/>
    <xf numFmtId="0" fontId="5" fillId="0" borderId="0" xfId="5"/>
    <xf numFmtId="0" fontId="5" fillId="0" borderId="0" xfId="4"/>
    <xf numFmtId="0" fontId="5" fillId="2" borderId="7" xfId="5" applyFill="1" applyBorder="1" applyAlignment="1">
      <alignment horizontal="right"/>
    </xf>
    <xf numFmtId="0" fontId="5" fillId="2" borderId="6" xfId="5" applyFill="1" applyBorder="1"/>
    <xf numFmtId="0" fontId="5" fillId="2" borderId="7" xfId="5" applyFill="1" applyBorder="1" applyAlignment="1">
      <alignment horizontal="left"/>
    </xf>
    <xf numFmtId="0" fontId="5" fillId="2" borderId="14" xfId="5" applyFill="1" applyBorder="1" applyAlignment="1">
      <alignment horizontal="left"/>
    </xf>
    <xf numFmtId="0" fontId="3" fillId="2" borderId="5" xfId="5" applyFont="1" applyFill="1" applyBorder="1"/>
    <xf numFmtId="11" fontId="3" fillId="2" borderId="5" xfId="5" applyNumberFormat="1" applyFont="1" applyFill="1" applyBorder="1" applyAlignment="1" applyProtection="1">
      <alignment horizontal="center" vertical="center"/>
      <protection locked="0"/>
    </xf>
    <xf numFmtId="4" fontId="3" fillId="2" borderId="5" xfId="5" applyNumberFormat="1" applyFont="1" applyFill="1" applyBorder="1"/>
    <xf numFmtId="11" fontId="3" fillId="2" borderId="5" xfId="5" applyNumberFormat="1" applyFont="1" applyFill="1" applyBorder="1" applyAlignment="1">
      <alignment horizontal="center"/>
    </xf>
    <xf numFmtId="0" fontId="5" fillId="2" borderId="15" xfId="5" applyFill="1" applyBorder="1"/>
    <xf numFmtId="0" fontId="5" fillId="0" borderId="0" xfId="4" applyAlignment="1">
      <alignment horizontal="center"/>
    </xf>
    <xf numFmtId="165" fontId="5" fillId="0" borderId="0" xfId="4" applyNumberFormat="1"/>
    <xf numFmtId="2" fontId="5" fillId="0" borderId="0" xfId="4" applyNumberFormat="1"/>
    <xf numFmtId="0" fontId="7" fillId="0" borderId="0" xfId="0" applyFont="1" applyAlignment="1">
      <alignment wrapText="1"/>
    </xf>
    <xf numFmtId="168" fontId="7" fillId="0" borderId="0" xfId="0" applyNumberFormat="1" applyFont="1" applyAlignment="1">
      <alignment vertical="center"/>
    </xf>
    <xf numFmtId="165" fontId="2" fillId="0" borderId="9" xfId="11" applyFont="1" applyBorder="1" applyAlignment="1">
      <alignment horizontal="center" vertical="center"/>
    </xf>
    <xf numFmtId="0" fontId="0" fillId="0" borderId="17" xfId="0" applyBorder="1" applyAlignment="1">
      <alignment vertical="top"/>
    </xf>
    <xf numFmtId="0" fontId="0" fillId="0" borderId="9" xfId="0" applyBorder="1" applyAlignment="1">
      <alignment vertical="top"/>
    </xf>
    <xf numFmtId="0" fontId="0" fillId="0" borderId="5" xfId="0" applyBorder="1"/>
    <xf numFmtId="10" fontId="2" fillId="2" borderId="1" xfId="6" applyNumberFormat="1" applyFont="1" applyFill="1" applyBorder="1"/>
    <xf numFmtId="0" fontId="16" fillId="2" borderId="1" xfId="5" applyFont="1" applyFill="1" applyBorder="1" applyAlignment="1">
      <alignment vertical="center" wrapText="1"/>
    </xf>
    <xf numFmtId="0" fontId="31" fillId="0" borderId="0" xfId="3" applyFont="1" applyAlignment="1">
      <alignment vertical="center"/>
    </xf>
    <xf numFmtId="0" fontId="32" fillId="0" borderId="0" xfId="3" applyFont="1" applyAlignment="1">
      <alignment horizontal="left" vertical="center"/>
    </xf>
    <xf numFmtId="0" fontId="20" fillId="0" borderId="0" xfId="3" applyFont="1" applyAlignment="1">
      <alignment horizontal="center" vertical="center" wrapText="1"/>
    </xf>
    <xf numFmtId="0" fontId="33" fillId="0" borderId="0" xfId="3" applyFont="1" applyAlignment="1">
      <alignment vertical="center"/>
    </xf>
    <xf numFmtId="0" fontId="30" fillId="0" borderId="17" xfId="3" applyFont="1" applyBorder="1" applyAlignment="1">
      <alignment vertical="center" wrapText="1"/>
    </xf>
    <xf numFmtId="0" fontId="34" fillId="0" borderId="0" xfId="3" applyFont="1" applyAlignment="1" applyProtection="1">
      <alignment vertical="center"/>
      <protection hidden="1"/>
    </xf>
    <xf numFmtId="0" fontId="34" fillId="0" borderId="0" xfId="3" applyFont="1" applyAlignment="1">
      <alignment vertical="center"/>
    </xf>
    <xf numFmtId="0" fontId="34" fillId="0" borderId="0" xfId="3" applyFont="1" applyAlignment="1" applyProtection="1">
      <alignment horizontal="left" vertical="center"/>
      <protection hidden="1"/>
    </xf>
    <xf numFmtId="0" fontId="36" fillId="0" borderId="0" xfId="3" applyFont="1" applyAlignment="1" applyProtection="1">
      <alignment vertical="center"/>
      <protection hidden="1"/>
    </xf>
    <xf numFmtId="0" fontId="36" fillId="0" borderId="0" xfId="3" applyFont="1" applyAlignment="1">
      <alignment vertical="center"/>
    </xf>
    <xf numFmtId="0" fontId="20" fillId="3" borderId="18" xfId="3" applyFont="1" applyFill="1" applyBorder="1" applyAlignment="1">
      <alignment horizontal="center" vertical="center" wrapText="1"/>
    </xf>
    <xf numFmtId="0" fontId="20" fillId="3" borderId="19" xfId="3" applyFont="1" applyFill="1" applyBorder="1" applyAlignment="1">
      <alignment horizontal="center" vertical="center" wrapText="1"/>
    </xf>
    <xf numFmtId="0" fontId="30" fillId="0" borderId="20" xfId="3" applyFont="1" applyBorder="1" applyAlignment="1">
      <alignment vertical="center" wrapText="1"/>
    </xf>
    <xf numFmtId="2" fontId="30" fillId="0" borderId="16" xfId="3" applyNumberFormat="1" applyFont="1" applyBorder="1" applyAlignment="1" applyProtection="1">
      <alignment horizontal="center" vertical="center" wrapText="1"/>
      <protection hidden="1"/>
    </xf>
    <xf numFmtId="2" fontId="30" fillId="4" borderId="21" xfId="3" quotePrefix="1" applyNumberFormat="1" applyFont="1" applyFill="1" applyBorder="1" applyAlignment="1" applyProtection="1">
      <alignment horizontal="center" vertical="center" wrapText="1"/>
      <protection locked="0"/>
    </xf>
    <xf numFmtId="2" fontId="30" fillId="4" borderId="0" xfId="3" quotePrefix="1" applyNumberFormat="1" applyFont="1" applyFill="1" applyAlignment="1" applyProtection="1">
      <alignment vertical="center" wrapText="1"/>
      <protection hidden="1"/>
    </xf>
    <xf numFmtId="0" fontId="30" fillId="0" borderId="20" xfId="3" applyFont="1" applyBorder="1" applyAlignment="1">
      <alignment horizontal="left" vertical="center" wrapText="1"/>
    </xf>
    <xf numFmtId="2" fontId="30" fillId="4" borderId="22" xfId="3" applyNumberFormat="1" applyFont="1" applyFill="1" applyBorder="1" applyAlignment="1" applyProtection="1">
      <alignment horizontal="center" vertical="center" wrapText="1"/>
      <protection locked="0"/>
    </xf>
    <xf numFmtId="2" fontId="30" fillId="4" borderId="0" xfId="3" applyNumberFormat="1" applyFont="1" applyFill="1" applyAlignment="1" applyProtection="1">
      <alignment vertical="center" wrapText="1"/>
      <protection hidden="1"/>
    </xf>
    <xf numFmtId="0" fontId="37" fillId="5" borderId="0" xfId="3" applyFont="1" applyFill="1" applyAlignment="1" applyProtection="1">
      <alignment vertical="center"/>
      <protection hidden="1"/>
    </xf>
    <xf numFmtId="0" fontId="37" fillId="5" borderId="0" xfId="3" applyFont="1" applyFill="1" applyAlignment="1" applyProtection="1">
      <alignment vertical="center" wrapText="1"/>
      <protection hidden="1"/>
    </xf>
    <xf numFmtId="2" fontId="30" fillId="0" borderId="14" xfId="3" applyNumberFormat="1" applyFont="1" applyBorder="1" applyAlignment="1" applyProtection="1">
      <alignment horizontal="center" vertical="center" wrapText="1"/>
      <protection hidden="1"/>
    </xf>
    <xf numFmtId="2" fontId="30" fillId="0" borderId="23" xfId="3" applyNumberFormat="1" applyFont="1" applyBorder="1" applyAlignment="1">
      <alignment horizontal="center" vertical="center" wrapText="1"/>
    </xf>
    <xf numFmtId="0" fontId="20" fillId="0" borderId="24" xfId="3" applyFont="1" applyBorder="1" applyAlignment="1">
      <alignment vertical="center" wrapText="1"/>
    </xf>
    <xf numFmtId="2" fontId="20" fillId="0" borderId="25" xfId="3" applyNumberFormat="1" applyFont="1" applyBorder="1" applyAlignment="1" applyProtection="1">
      <alignment horizontal="center" vertical="center" wrapText="1"/>
      <protection hidden="1"/>
    </xf>
    <xf numFmtId="2" fontId="20" fillId="0" borderId="26" xfId="3" applyNumberFormat="1" applyFont="1" applyBorder="1" applyAlignment="1" applyProtection="1">
      <alignment horizontal="center" vertical="center" wrapText="1"/>
      <protection hidden="1"/>
    </xf>
    <xf numFmtId="0" fontId="38" fillId="0" borderId="0" xfId="3" applyFont="1" applyAlignment="1" applyProtection="1">
      <alignment vertical="center"/>
      <protection hidden="1"/>
    </xf>
    <xf numFmtId="0" fontId="39" fillId="0" borderId="0" xfId="3" applyFont="1" applyAlignment="1" applyProtection="1">
      <alignment vertical="center"/>
      <protection hidden="1"/>
    </xf>
    <xf numFmtId="0" fontId="40" fillId="0" borderId="0" xfId="3" applyFont="1" applyAlignment="1" applyProtection="1">
      <alignment vertical="center"/>
      <protection hidden="1"/>
    </xf>
    <xf numFmtId="0" fontId="41" fillId="0" borderId="0" xfId="3" applyFont="1" applyAlignment="1" applyProtection="1">
      <alignment vertical="center"/>
      <protection hidden="1"/>
    </xf>
    <xf numFmtId="0" fontId="30" fillId="0" borderId="0" xfId="3" applyFont="1" applyAlignment="1">
      <alignment vertical="center"/>
    </xf>
    <xf numFmtId="0" fontId="36" fillId="0" borderId="0" xfId="3" applyFont="1" applyAlignment="1">
      <alignment horizontal="right" vertical="center"/>
    </xf>
    <xf numFmtId="2" fontId="30" fillId="0" borderId="27" xfId="3" applyNumberFormat="1" applyFont="1" applyBorder="1" applyAlignment="1" applyProtection="1">
      <alignment horizontal="center" vertical="center" wrapText="1"/>
      <protection hidden="1"/>
    </xf>
    <xf numFmtId="0" fontId="42" fillId="0" borderId="0" xfId="3" applyFont="1" applyAlignment="1" applyProtection="1">
      <alignment vertical="center"/>
      <protection hidden="1"/>
    </xf>
    <xf numFmtId="0" fontId="34" fillId="0" borderId="0" xfId="3" applyFont="1" applyAlignment="1">
      <alignment horizontal="right" vertical="center"/>
    </xf>
    <xf numFmtId="2" fontId="34" fillId="0" borderId="0" xfId="3" applyNumberFormat="1" applyFont="1" applyAlignment="1" applyProtection="1">
      <alignment horizontal="center" vertical="center"/>
      <protection hidden="1"/>
    </xf>
    <xf numFmtId="0" fontId="43" fillId="0" borderId="0" xfId="3" applyFont="1" applyAlignment="1" applyProtection="1">
      <alignment vertical="center"/>
      <protection hidden="1"/>
    </xf>
    <xf numFmtId="0" fontId="44" fillId="0" borderId="0" xfId="3" applyFont="1" applyAlignment="1">
      <alignment horizontal="justify" vertical="center"/>
    </xf>
    <xf numFmtId="0" fontId="44" fillId="0" borderId="0" xfId="3" applyFont="1" applyAlignment="1">
      <alignment horizontal="left" vertical="center"/>
    </xf>
    <xf numFmtId="0" fontId="44" fillId="6" borderId="0" xfId="3" applyFont="1" applyFill="1" applyAlignment="1" applyProtection="1">
      <alignment horizontal="left"/>
      <protection locked="0"/>
    </xf>
    <xf numFmtId="0" fontId="44" fillId="0" borderId="5" xfId="3" applyFont="1" applyBorder="1" applyAlignment="1">
      <alignment horizontal="left" vertical="center"/>
    </xf>
    <xf numFmtId="0" fontId="44" fillId="4" borderId="0" xfId="3" applyFont="1" applyFill="1" applyAlignment="1">
      <alignment horizontal="left" vertical="center"/>
    </xf>
    <xf numFmtId="0" fontId="37" fillId="5" borderId="0" xfId="3" applyFont="1" applyFill="1" applyAlignment="1">
      <alignment vertical="center"/>
    </xf>
    <xf numFmtId="0" fontId="37" fillId="5" borderId="0" xfId="3" applyFont="1" applyFill="1" applyAlignment="1">
      <alignment vertical="center" wrapText="1"/>
    </xf>
    <xf numFmtId="0" fontId="46" fillId="5" borderId="0" xfId="3" applyFont="1" applyFill="1" applyAlignment="1">
      <alignment vertical="center"/>
    </xf>
    <xf numFmtId="0" fontId="47" fillId="0" borderId="0" xfId="3" applyFont="1" applyAlignment="1">
      <alignment vertical="center"/>
    </xf>
    <xf numFmtId="0" fontId="37" fillId="0" borderId="0" xfId="3" applyFont="1" applyAlignment="1">
      <alignment vertical="center"/>
    </xf>
    <xf numFmtId="0" fontId="46" fillId="0" borderId="0" xfId="3" applyFont="1" applyAlignment="1">
      <alignment horizontal="center" vertical="center" wrapText="1"/>
    </xf>
    <xf numFmtId="0" fontId="30" fillId="0" borderId="0" xfId="3" applyFont="1" applyAlignment="1">
      <alignment vertical="center" wrapText="1"/>
    </xf>
    <xf numFmtId="2" fontId="30" fillId="0" borderId="0" xfId="3" applyNumberFormat="1" applyFont="1" applyAlignment="1">
      <alignment vertical="center" wrapText="1"/>
    </xf>
    <xf numFmtId="0" fontId="20" fillId="0" borderId="0" xfId="3" applyFont="1" applyAlignment="1">
      <alignment vertical="center" wrapText="1"/>
    </xf>
    <xf numFmtId="2" fontId="20" fillId="0" borderId="0" xfId="3" applyNumberFormat="1" applyFont="1" applyAlignment="1">
      <alignment vertical="center" wrapText="1"/>
    </xf>
    <xf numFmtId="0" fontId="5" fillId="0" borderId="1" xfId="3" applyBorder="1"/>
    <xf numFmtId="2" fontId="30" fillId="0" borderId="1" xfId="3" applyNumberFormat="1" applyFont="1" applyBorder="1" applyAlignment="1">
      <alignment horizontal="right" wrapText="1"/>
    </xf>
    <xf numFmtId="2" fontId="30" fillId="0" borderId="1" xfId="3" applyNumberFormat="1" applyFont="1" applyBorder="1" applyAlignment="1">
      <alignment wrapText="1"/>
    </xf>
    <xf numFmtId="2" fontId="20" fillId="0" borderId="25" xfId="3" applyNumberFormat="1" applyFont="1" applyBorder="1" applyAlignment="1">
      <alignment wrapText="1"/>
    </xf>
    <xf numFmtId="0" fontId="6" fillId="0" borderId="0" xfId="3" applyFont="1" applyAlignment="1">
      <alignment vertical="center"/>
    </xf>
    <xf numFmtId="4" fontId="5" fillId="0" borderId="0" xfId="4" applyNumberFormat="1" applyAlignment="1">
      <alignment vertical="center"/>
    </xf>
    <xf numFmtId="0" fontId="5" fillId="2" borderId="0" xfId="5" applyFill="1" applyAlignment="1">
      <alignment horizontal="center"/>
    </xf>
    <xf numFmtId="4" fontId="5" fillId="2" borderId="0" xfId="5" applyNumberFormat="1" applyFill="1"/>
    <xf numFmtId="0" fontId="5" fillId="2" borderId="0" xfId="5" applyFill="1"/>
    <xf numFmtId="0" fontId="3" fillId="2" borderId="0" xfId="5" applyFont="1" applyFill="1"/>
    <xf numFmtId="0" fontId="3" fillId="2" borderId="0" xfId="5" applyFont="1" applyFill="1" applyAlignment="1">
      <alignment horizontal="center"/>
    </xf>
    <xf numFmtId="4" fontId="3" fillId="2" borderId="0" xfId="5" applyNumberFormat="1" applyFont="1" applyFill="1"/>
    <xf numFmtId="11" fontId="3" fillId="2" borderId="0" xfId="5" applyNumberFormat="1" applyFont="1" applyFill="1" applyAlignment="1">
      <alignment horizontal="center"/>
    </xf>
    <xf numFmtId="0" fontId="6" fillId="0" borderId="7" xfId="3" applyFont="1" applyBorder="1" applyAlignment="1">
      <alignment vertical="center"/>
    </xf>
    <xf numFmtId="4" fontId="5" fillId="0" borderId="6" xfId="4" applyNumberFormat="1" applyBorder="1" applyAlignment="1">
      <alignment vertical="center"/>
    </xf>
    <xf numFmtId="165" fontId="10" fillId="0" borderId="9" xfId="11" applyFont="1" applyFill="1" applyBorder="1" applyAlignment="1">
      <alignment vertical="center"/>
    </xf>
    <xf numFmtId="165" fontId="10" fillId="0" borderId="1" xfId="11" applyFont="1" applyBorder="1" applyAlignment="1">
      <alignment horizontal="center" vertical="center"/>
    </xf>
    <xf numFmtId="0" fontId="2" fillId="0" borderId="8" xfId="3" applyFont="1" applyBorder="1" applyAlignment="1">
      <alignment horizontal="center" vertical="center" wrapText="1"/>
    </xf>
    <xf numFmtId="0" fontId="2" fillId="0" borderId="8" xfId="3" applyFont="1" applyBorder="1" applyAlignment="1">
      <alignment horizontal="center" vertical="center"/>
    </xf>
    <xf numFmtId="0" fontId="19" fillId="0" borderId="1" xfId="3" applyFont="1" applyBorder="1" applyAlignment="1">
      <alignment horizontal="center" vertical="center"/>
    </xf>
    <xf numFmtId="0" fontId="2" fillId="0" borderId="1" xfId="3" applyFont="1" applyBorder="1" applyAlignment="1">
      <alignment horizontal="center" vertical="center" wrapText="1"/>
    </xf>
    <xf numFmtId="10" fontId="10" fillId="0" borderId="1" xfId="6" applyNumberFormat="1" applyFont="1" applyBorder="1" applyAlignment="1">
      <alignment horizontal="center" vertical="center"/>
    </xf>
    <xf numFmtId="10" fontId="2" fillId="0" borderId="9" xfId="3" applyNumberFormat="1" applyFont="1" applyBorder="1" applyAlignment="1">
      <alignment horizontal="center" vertical="center"/>
    </xf>
    <xf numFmtId="0" fontId="5" fillId="0" borderId="8" xfId="3" applyBorder="1"/>
    <xf numFmtId="0" fontId="7" fillId="2" borderId="17" xfId="4" applyFont="1" applyFill="1" applyBorder="1"/>
    <xf numFmtId="168" fontId="8" fillId="0" borderId="1" xfId="11" applyNumberFormat="1" applyFont="1" applyFill="1" applyBorder="1" applyAlignment="1">
      <alignment horizontal="right" vertical="center"/>
    </xf>
    <xf numFmtId="2" fontId="2" fillId="0" borderId="0" xfId="3" applyNumberFormat="1" applyFont="1" applyAlignment="1">
      <alignment horizontal="center" vertical="center"/>
    </xf>
    <xf numFmtId="2" fontId="2" fillId="0" borderId="1" xfId="3" applyNumberFormat="1" applyFont="1" applyBorder="1" applyAlignment="1">
      <alignment horizontal="center" vertical="center"/>
    </xf>
    <xf numFmtId="165" fontId="2" fillId="0" borderId="1" xfId="11" applyFont="1" applyBorder="1" applyAlignment="1">
      <alignment horizontal="center" vertical="center"/>
    </xf>
    <xf numFmtId="0" fontId="2" fillId="0" borderId="1" xfId="3" applyFont="1" applyBorder="1" applyAlignment="1">
      <alignment vertical="center"/>
    </xf>
    <xf numFmtId="0" fontId="49" fillId="0" borderId="1" xfId="0" applyFont="1" applyBorder="1" applyAlignment="1">
      <alignment horizontal="center" vertical="center" wrapText="1"/>
    </xf>
    <xf numFmtId="0" fontId="49" fillId="0" borderId="1" xfId="0" applyFont="1" applyBorder="1" applyAlignment="1">
      <alignment horizontal="left" vertical="center" wrapText="1"/>
    </xf>
    <xf numFmtId="0" fontId="50" fillId="0" borderId="1" xfId="0" applyFont="1" applyBorder="1" applyAlignment="1">
      <alignment horizontal="center" vertical="center" wrapText="1"/>
    </xf>
    <xf numFmtId="165" fontId="9" fillId="0" borderId="1" xfId="11" applyFont="1" applyFill="1" applyBorder="1" applyAlignment="1">
      <alignment horizontal="center" vertical="center"/>
    </xf>
    <xf numFmtId="165" fontId="10" fillId="0" borderId="1" xfId="11" applyFont="1" applyBorder="1"/>
    <xf numFmtId="0" fontId="50" fillId="0" borderId="1" xfId="0" applyFont="1" applyBorder="1" applyAlignment="1">
      <alignment horizontal="left" vertical="center" wrapText="1"/>
    </xf>
    <xf numFmtId="165" fontId="2" fillId="0" borderId="1" xfId="11" applyFont="1" applyFill="1" applyBorder="1" applyAlignment="1">
      <alignment horizontal="center" vertical="center"/>
    </xf>
    <xf numFmtId="165" fontId="50" fillId="0" borderId="1" xfId="11" applyFont="1" applyFill="1" applyBorder="1" applyAlignment="1">
      <alignment horizontal="right" vertical="center" wrapText="1"/>
    </xf>
    <xf numFmtId="0" fontId="9" fillId="0" borderId="1" xfId="0" applyFont="1" applyBorder="1" applyAlignment="1">
      <alignment horizontal="center" vertical="center"/>
    </xf>
    <xf numFmtId="0" fontId="28" fillId="0" borderId="1" xfId="0" applyFont="1" applyBorder="1" applyAlignment="1">
      <alignment vertical="center"/>
    </xf>
    <xf numFmtId="0" fontId="10" fillId="0" borderId="1"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165" fontId="10" fillId="0" borderId="1" xfId="11"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10" fillId="0" borderId="1" xfId="0" applyFont="1" applyBorder="1" applyAlignment="1">
      <alignment vertical="center" wrapText="1"/>
    </xf>
    <xf numFmtId="0" fontId="11" fillId="0" borderId="16" xfId="0" applyFont="1" applyBorder="1" applyAlignment="1">
      <alignment horizontal="center" vertical="center"/>
    </xf>
    <xf numFmtId="0" fontId="11" fillId="0" borderId="16" xfId="0" applyFont="1" applyBorder="1" applyAlignment="1">
      <alignment horizontal="center" vertical="center" wrapText="1"/>
    </xf>
    <xf numFmtId="165" fontId="52" fillId="0" borderId="1" xfId="11" applyFont="1" applyBorder="1" applyAlignment="1">
      <alignment horizontal="center" vertical="center"/>
    </xf>
    <xf numFmtId="172" fontId="52" fillId="0" borderId="1" xfId="13" applyNumberFormat="1" applyFont="1" applyBorder="1" applyAlignment="1">
      <alignment vertical="center"/>
    </xf>
    <xf numFmtId="169" fontId="10" fillId="2" borderId="28" xfId="3" applyNumberFormat="1" applyFont="1" applyFill="1" applyBorder="1" applyAlignment="1">
      <alignment horizontal="right" vertical="top" wrapText="1"/>
    </xf>
    <xf numFmtId="170" fontId="10" fillId="2" borderId="28" xfId="3" applyNumberFormat="1" applyFont="1" applyFill="1" applyBorder="1" applyAlignment="1">
      <alignment horizontal="right" vertical="top" wrapText="1"/>
    </xf>
    <xf numFmtId="0" fontId="10" fillId="0" borderId="0" xfId="0" applyFont="1"/>
    <xf numFmtId="43" fontId="10" fillId="0" borderId="0" xfId="0" applyNumberFormat="1" applyFont="1"/>
    <xf numFmtId="165" fontId="10" fillId="0" borderId="0" xfId="12" applyFont="1" applyBorder="1" applyAlignment="1">
      <alignment horizontal="center" vertical="center"/>
    </xf>
    <xf numFmtId="165" fontId="10" fillId="0" borderId="0" xfId="12" applyFont="1"/>
    <xf numFmtId="165" fontId="10" fillId="0" borderId="0" xfId="11" applyFont="1" applyBorder="1" applyAlignment="1">
      <alignment horizontal="center" vertical="center"/>
    </xf>
    <xf numFmtId="43" fontId="10" fillId="0" borderId="1" xfId="0" applyNumberFormat="1" applyFont="1" applyBorder="1" applyAlignment="1">
      <alignment vertical="center"/>
    </xf>
    <xf numFmtId="168" fontId="10" fillId="0" borderId="9" xfId="0" applyNumberFormat="1" applyFont="1" applyBorder="1" applyAlignment="1">
      <alignment vertical="center"/>
    </xf>
    <xf numFmtId="165" fontId="10" fillId="0" borderId="0" xfId="11" applyFont="1" applyAlignment="1">
      <alignment horizontal="center" vertical="center"/>
    </xf>
    <xf numFmtId="43" fontId="10" fillId="0" borderId="0" xfId="0" applyNumberFormat="1" applyFont="1" applyAlignment="1">
      <alignment vertical="center"/>
    </xf>
    <xf numFmtId="0" fontId="0" fillId="0" borderId="0" xfId="0" applyAlignment="1">
      <alignment vertical="center"/>
    </xf>
    <xf numFmtId="173" fontId="52" fillId="0" borderId="1" xfId="0" applyNumberFormat="1" applyFont="1" applyBorder="1" applyAlignment="1">
      <alignment vertical="center"/>
    </xf>
    <xf numFmtId="165" fontId="2" fillId="0" borderId="40" xfId="11" applyFont="1" applyBorder="1" applyAlignment="1">
      <alignment horizontal="center" vertical="center" wrapText="1"/>
    </xf>
    <xf numFmtId="173" fontId="52" fillId="0" borderId="0" xfId="0" applyNumberFormat="1" applyFont="1" applyAlignment="1">
      <alignment vertical="center"/>
    </xf>
    <xf numFmtId="165" fontId="7" fillId="0" borderId="0" xfId="11" applyFont="1" applyBorder="1"/>
    <xf numFmtId="168" fontId="7" fillId="0" borderId="0" xfId="0" applyNumberFormat="1" applyFont="1"/>
    <xf numFmtId="0" fontId="52" fillId="0" borderId="1"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left" vertical="center"/>
    </xf>
    <xf numFmtId="0" fontId="11" fillId="0" borderId="14" xfId="0" applyFont="1" applyBorder="1" applyAlignment="1">
      <alignment horizontal="center" vertical="center"/>
    </xf>
    <xf numFmtId="10" fontId="11" fillId="0" borderId="15" xfId="6" applyNumberFormat="1" applyFont="1" applyFill="1" applyBorder="1" applyAlignment="1">
      <alignment horizontal="left" vertical="center"/>
    </xf>
    <xf numFmtId="0" fontId="16" fillId="2" borderId="9" xfId="0" applyFont="1" applyFill="1" applyBorder="1" applyAlignment="1">
      <alignment vertical="center"/>
    </xf>
    <xf numFmtId="49" fontId="10" fillId="2" borderId="4" xfId="0" applyNumberFormat="1" applyFont="1" applyFill="1" applyBorder="1" applyAlignment="1">
      <alignment horizontal="center" vertical="center" wrapText="1"/>
    </xf>
    <xf numFmtId="10" fontId="28" fillId="2" borderId="4" xfId="0" applyNumberFormat="1" applyFont="1" applyFill="1" applyBorder="1" applyAlignment="1">
      <alignment vertical="center" wrapText="1"/>
    </xf>
    <xf numFmtId="10" fontId="28" fillId="2" borderId="4" xfId="7" applyNumberFormat="1" applyFont="1" applyFill="1" applyBorder="1" applyAlignment="1">
      <alignment vertical="center" wrapText="1"/>
    </xf>
    <xf numFmtId="49" fontId="10" fillId="2" borderId="10" xfId="0" applyNumberFormat="1" applyFont="1" applyFill="1" applyBorder="1" applyAlignment="1">
      <alignment horizontal="center" vertical="center" wrapText="1"/>
    </xf>
    <xf numFmtId="166" fontId="2" fillId="2" borderId="10" xfId="0" applyNumberFormat="1" applyFont="1" applyFill="1" applyBorder="1" applyAlignment="1">
      <alignment vertical="center" wrapText="1"/>
    </xf>
    <xf numFmtId="10" fontId="2" fillId="2" borderId="4" xfId="7" applyNumberFormat="1" applyFont="1" applyFill="1" applyBorder="1" applyAlignment="1">
      <alignment vertical="center" wrapText="1"/>
    </xf>
    <xf numFmtId="10" fontId="2" fillId="2" borderId="4" xfId="0" applyNumberFormat="1" applyFont="1" applyFill="1" applyBorder="1" applyAlignment="1">
      <alignment vertical="center" wrapText="1"/>
    </xf>
    <xf numFmtId="49" fontId="10" fillId="2" borderId="2" xfId="0" applyNumberFormat="1" applyFont="1" applyFill="1" applyBorder="1" applyAlignment="1">
      <alignment horizontal="center" vertical="center" wrapText="1"/>
    </xf>
    <xf numFmtId="10" fontId="2" fillId="2" borderId="2" xfId="0" applyNumberFormat="1" applyFont="1" applyFill="1" applyBorder="1" applyAlignment="1">
      <alignment vertical="center" wrapText="1"/>
    </xf>
    <xf numFmtId="10" fontId="28" fillId="2" borderId="2" xfId="0" applyNumberFormat="1" applyFont="1" applyFill="1" applyBorder="1" applyAlignment="1">
      <alignment vertical="center" wrapText="1"/>
    </xf>
    <xf numFmtId="10" fontId="2" fillId="2" borderId="2" xfId="7" applyNumberFormat="1" applyFont="1" applyFill="1" applyBorder="1" applyAlignment="1">
      <alignment vertical="center" wrapText="1"/>
    </xf>
    <xf numFmtId="49" fontId="10" fillId="2" borderId="3"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165" fontId="28" fillId="2" borderId="4" xfId="11" applyFont="1" applyFill="1" applyBorder="1" applyAlignment="1">
      <alignment vertical="center" wrapText="1"/>
    </xf>
    <xf numFmtId="10" fontId="2" fillId="2" borderId="1" xfId="0" applyNumberFormat="1" applyFont="1" applyFill="1" applyBorder="1" applyAlignment="1">
      <alignment horizontal="center" vertical="center"/>
    </xf>
    <xf numFmtId="168" fontId="2" fillId="0" borderId="11" xfId="2" applyNumberFormat="1" applyFont="1" applyBorder="1" applyAlignment="1">
      <alignment horizontal="center" vertical="center"/>
    </xf>
    <xf numFmtId="168" fontId="2" fillId="0" borderId="13" xfId="2" applyNumberFormat="1" applyFont="1" applyBorder="1" applyAlignment="1">
      <alignment horizontal="center" vertical="center"/>
    </xf>
    <xf numFmtId="168" fontId="2" fillId="0" borderId="14" xfId="2" applyNumberFormat="1" applyFont="1" applyBorder="1" applyAlignment="1">
      <alignment horizontal="center" vertical="center"/>
    </xf>
    <xf numFmtId="168" fontId="2" fillId="0" borderId="15" xfId="2" applyNumberFormat="1" applyFont="1" applyBorder="1" applyAlignment="1">
      <alignment horizontal="center" vertical="center"/>
    </xf>
    <xf numFmtId="0" fontId="2" fillId="0" borderId="8" xfId="3" applyFont="1" applyBorder="1" applyAlignment="1">
      <alignment horizontal="left" vertical="center" wrapText="1"/>
    </xf>
    <xf numFmtId="0" fontId="2" fillId="0" borderId="17" xfId="3" applyFont="1" applyBorder="1" applyAlignment="1">
      <alignment horizontal="left" vertical="center" wrapText="1"/>
    </xf>
    <xf numFmtId="0" fontId="2" fillId="0" borderId="9" xfId="3" applyFont="1" applyBorder="1" applyAlignment="1">
      <alignment horizontal="left" vertical="center" wrapText="1"/>
    </xf>
    <xf numFmtId="165" fontId="2" fillId="0" borderId="8" xfId="8" applyFont="1" applyFill="1" applyBorder="1" applyAlignment="1">
      <alignment horizontal="center" vertical="center" wrapText="1"/>
    </xf>
    <xf numFmtId="165" fontId="2" fillId="0" borderId="17" xfId="8" applyFont="1" applyFill="1" applyBorder="1" applyAlignment="1">
      <alignment horizontal="center" vertical="center" wrapText="1"/>
    </xf>
    <xf numFmtId="165" fontId="2" fillId="0" borderId="8" xfId="11" applyFont="1" applyFill="1" applyBorder="1" applyAlignment="1">
      <alignment horizontal="center" vertical="center"/>
    </xf>
    <xf numFmtId="165" fontId="2" fillId="0" borderId="17" xfId="11" applyFont="1" applyFill="1" applyBorder="1" applyAlignment="1">
      <alignment horizontal="center" vertical="center"/>
    </xf>
    <xf numFmtId="0" fontId="2" fillId="0" borderId="8" xfId="3" applyFont="1" applyBorder="1" applyAlignment="1">
      <alignment horizontal="center" vertical="center" wrapText="1"/>
    </xf>
    <xf numFmtId="0" fontId="2" fillId="0" borderId="17" xfId="3" applyFont="1" applyBorder="1" applyAlignment="1">
      <alignment horizontal="center" vertical="center" wrapText="1"/>
    </xf>
    <xf numFmtId="0" fontId="28" fillId="0" borderId="8" xfId="3" applyFont="1" applyBorder="1" applyAlignment="1">
      <alignment horizontal="center" vertical="center" wrapText="1"/>
    </xf>
    <xf numFmtId="0" fontId="28" fillId="0" borderId="17" xfId="3" applyFont="1" applyBorder="1" applyAlignment="1">
      <alignment horizontal="center" vertical="center" wrapText="1"/>
    </xf>
    <xf numFmtId="0" fontId="16" fillId="0" borderId="8" xfId="3" applyFont="1" applyBorder="1" applyAlignment="1">
      <alignment horizontal="center" vertical="center"/>
    </xf>
    <xf numFmtId="0" fontId="16" fillId="0" borderId="17" xfId="3" applyFont="1" applyBorder="1" applyAlignment="1">
      <alignment horizontal="center" vertical="center"/>
    </xf>
    <xf numFmtId="0" fontId="16" fillId="0" borderId="9" xfId="3" applyFont="1" applyBorder="1" applyAlignment="1">
      <alignment horizontal="center" vertical="center"/>
    </xf>
    <xf numFmtId="0" fontId="3" fillId="0" borderId="11" xfId="3" applyFont="1" applyBorder="1" applyAlignment="1">
      <alignment horizontal="center" vertical="center"/>
    </xf>
    <xf numFmtId="0" fontId="3" fillId="0" borderId="12" xfId="3" applyFont="1" applyBorder="1" applyAlignment="1">
      <alignment horizontal="center" vertical="center"/>
    </xf>
    <xf numFmtId="0" fontId="3" fillId="0" borderId="14" xfId="3" applyFont="1" applyBorder="1" applyAlignment="1">
      <alignment horizontal="center" vertical="center"/>
    </xf>
    <xf numFmtId="0" fontId="3" fillId="0" borderId="5" xfId="3" applyFont="1" applyBorder="1" applyAlignment="1">
      <alignment horizontal="center" vertical="center"/>
    </xf>
    <xf numFmtId="0" fontId="18" fillId="0" borderId="11" xfId="3" applyFont="1" applyBorder="1" applyAlignment="1">
      <alignment horizontal="center" vertical="center" wrapText="1"/>
    </xf>
    <xf numFmtId="0" fontId="18" fillId="0" borderId="13" xfId="3" applyFont="1" applyBorder="1" applyAlignment="1">
      <alignment horizontal="center" vertical="center" wrapText="1"/>
    </xf>
    <xf numFmtId="0" fontId="18" fillId="0" borderId="7"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14" xfId="3" applyFont="1" applyBorder="1" applyAlignment="1">
      <alignment horizontal="center" vertical="center" wrapText="1"/>
    </xf>
    <xf numFmtId="0" fontId="18" fillId="0" borderId="15" xfId="3" applyFont="1" applyBorder="1" applyAlignment="1">
      <alignment horizontal="center" vertical="center" wrapText="1"/>
    </xf>
    <xf numFmtId="0" fontId="3" fillId="0" borderId="29" xfId="3" applyFont="1" applyBorder="1" applyAlignment="1">
      <alignment horizontal="center" vertical="center"/>
    </xf>
    <xf numFmtId="0" fontId="3" fillId="0" borderId="16" xfId="3" applyFont="1" applyBorder="1" applyAlignment="1">
      <alignment horizontal="center" vertical="center"/>
    </xf>
    <xf numFmtId="0" fontId="3" fillId="0" borderId="13" xfId="3" applyFont="1" applyBorder="1" applyAlignment="1">
      <alignment horizontal="center" vertical="center"/>
    </xf>
    <xf numFmtId="0" fontId="3" fillId="0" borderId="29"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 xfId="3" applyFont="1" applyBorder="1" applyAlignment="1">
      <alignment horizontal="center" vertical="center" wrapText="1"/>
    </xf>
    <xf numFmtId="0" fontId="5" fillId="0" borderId="5" xfId="3" applyBorder="1" applyAlignment="1">
      <alignment horizontal="center" vertical="top" wrapText="1"/>
    </xf>
    <xf numFmtId="0" fontId="3" fillId="0" borderId="15" xfId="3" applyFont="1" applyBorder="1" applyAlignment="1">
      <alignment horizontal="center" vertical="center"/>
    </xf>
    <xf numFmtId="165" fontId="2" fillId="0" borderId="8" xfId="11" applyFont="1" applyBorder="1" applyAlignment="1">
      <alignment horizontal="center" vertical="center"/>
    </xf>
    <xf numFmtId="165" fontId="2" fillId="0" borderId="17" xfId="11" applyFont="1" applyBorder="1" applyAlignment="1">
      <alignment horizontal="center" vertical="center"/>
    </xf>
    <xf numFmtId="167" fontId="16" fillId="0" borderId="29" xfId="9" quotePrefix="1" applyNumberFormat="1" applyFont="1" applyFill="1" applyBorder="1" applyAlignment="1">
      <alignment horizontal="center" vertical="center" wrapText="1"/>
    </xf>
    <xf numFmtId="167" fontId="16" fillId="0" borderId="30" xfId="9" quotePrefix="1" applyNumberFormat="1" applyFont="1" applyFill="1" applyBorder="1" applyAlignment="1">
      <alignment horizontal="center" vertical="center" wrapText="1"/>
    </xf>
    <xf numFmtId="167" fontId="16" fillId="0" borderId="16" xfId="9" quotePrefix="1" applyNumberFormat="1" applyFont="1" applyFill="1" applyBorder="1" applyAlignment="1">
      <alignment horizontal="center" vertical="center" wrapText="1"/>
    </xf>
    <xf numFmtId="0" fontId="16" fillId="0" borderId="8" xfId="3" applyFont="1" applyBorder="1" applyAlignment="1">
      <alignment horizontal="left" vertical="center"/>
    </xf>
    <xf numFmtId="0" fontId="16" fillId="0" borderId="17" xfId="3" applyFont="1" applyBorder="1" applyAlignment="1">
      <alignment horizontal="left" vertical="center"/>
    </xf>
    <xf numFmtId="0" fontId="16" fillId="0" borderId="9" xfId="3" applyFont="1" applyBorder="1" applyAlignment="1">
      <alignment horizontal="left" vertical="center"/>
    </xf>
    <xf numFmtId="165" fontId="2" fillId="0" borderId="29" xfId="11" applyFont="1" applyBorder="1" applyAlignment="1">
      <alignment horizontal="center" vertical="center"/>
    </xf>
    <xf numFmtId="165" fontId="2" fillId="0" borderId="30" xfId="11" applyFont="1" applyBorder="1" applyAlignment="1">
      <alignment horizontal="center" vertical="center"/>
    </xf>
    <xf numFmtId="165" fontId="2" fillId="0" borderId="16" xfId="11" applyFont="1" applyBorder="1" applyAlignment="1">
      <alignment horizontal="center" vertical="center"/>
    </xf>
    <xf numFmtId="0" fontId="10" fillId="2" borderId="31" xfId="3" applyFont="1" applyFill="1" applyBorder="1" applyAlignment="1">
      <alignment horizontal="left" vertical="top" wrapText="1"/>
    </xf>
    <xf numFmtId="0" fontId="10" fillId="2" borderId="32" xfId="3" applyFont="1" applyFill="1" applyBorder="1" applyAlignment="1">
      <alignment horizontal="left" vertical="top" wrapText="1"/>
    </xf>
    <xf numFmtId="0" fontId="10" fillId="2" borderId="33" xfId="3" applyFont="1" applyFill="1" applyBorder="1" applyAlignment="1">
      <alignment horizontal="left" vertical="top" wrapText="1"/>
    </xf>
    <xf numFmtId="0" fontId="10" fillId="2" borderId="31" xfId="3" applyFont="1" applyFill="1" applyBorder="1" applyAlignment="1">
      <alignment horizontal="center" vertical="top" wrapText="1"/>
    </xf>
    <xf numFmtId="0" fontId="10" fillId="2" borderId="33" xfId="3" applyFont="1" applyFill="1" applyBorder="1" applyAlignment="1">
      <alignment horizontal="center" vertical="top" wrapText="1"/>
    </xf>
    <xf numFmtId="17" fontId="10" fillId="2" borderId="31" xfId="3" applyNumberFormat="1" applyFont="1" applyFill="1" applyBorder="1" applyAlignment="1">
      <alignment horizontal="center" vertical="top" wrapText="1"/>
    </xf>
    <xf numFmtId="0" fontId="10" fillId="2" borderId="32" xfId="3" applyFont="1" applyFill="1" applyBorder="1" applyAlignment="1">
      <alignment horizontal="center" vertical="top" wrapText="1"/>
    </xf>
    <xf numFmtId="0" fontId="10" fillId="0" borderId="12" xfId="0" applyFont="1" applyBorder="1" applyAlignment="1">
      <alignment horizontal="center" vertical="center"/>
    </xf>
    <xf numFmtId="0" fontId="10" fillId="0" borderId="0" xfId="0" applyFont="1" applyAlignment="1">
      <alignment horizontal="center" vertical="center"/>
    </xf>
    <xf numFmtId="0" fontId="7" fillId="0" borderId="5"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11" fillId="0" borderId="1" xfId="0" applyFont="1" applyBorder="1" applyAlignment="1">
      <alignment horizontal="left" vertical="center"/>
    </xf>
    <xf numFmtId="0" fontId="11" fillId="0" borderId="8" xfId="0" applyFont="1" applyBorder="1" applyAlignment="1">
      <alignment horizontal="left" vertical="center"/>
    </xf>
    <xf numFmtId="0" fontId="7" fillId="0" borderId="0" xfId="0" applyFont="1" applyAlignment="1">
      <alignment horizontal="center" wrapText="1"/>
    </xf>
    <xf numFmtId="0" fontId="11" fillId="0" borderId="17" xfId="0" applyFont="1" applyBorder="1" applyAlignment="1">
      <alignment horizontal="left" vertical="center"/>
    </xf>
    <xf numFmtId="0" fontId="11" fillId="0" borderId="9" xfId="0" applyFont="1" applyBorder="1" applyAlignment="1">
      <alignment horizontal="lef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1" fillId="0" borderId="8" xfId="0" applyFont="1" applyBorder="1" applyAlignment="1">
      <alignment horizontal="left" vertical="center" wrapText="1"/>
    </xf>
    <xf numFmtId="0" fontId="11" fillId="0" borderId="17" xfId="0" applyFont="1" applyBorder="1" applyAlignment="1">
      <alignment horizontal="left" vertical="center" wrapText="1"/>
    </xf>
    <xf numFmtId="0" fontId="11" fillId="0" borderId="11" xfId="0" applyFont="1" applyBorder="1" applyAlignment="1">
      <alignment horizontal="left" vertical="center" wrapText="1"/>
    </xf>
    <xf numFmtId="0" fontId="11" fillId="0" borderId="13" xfId="0" applyFont="1" applyBorder="1" applyAlignment="1">
      <alignment horizontal="left" vertical="center" wrapText="1"/>
    </xf>
    <xf numFmtId="0" fontId="15" fillId="0" borderId="17" xfId="0" applyFont="1" applyBorder="1"/>
    <xf numFmtId="0" fontId="7" fillId="0" borderId="0" xfId="0" applyFont="1" applyAlignment="1">
      <alignment horizontal="center" vertical="center"/>
    </xf>
    <xf numFmtId="0" fontId="11" fillId="0" borderId="8" xfId="0" applyFont="1" applyBorder="1" applyAlignment="1">
      <alignment horizontal="right" vertical="center"/>
    </xf>
    <xf numFmtId="0" fontId="11" fillId="0" borderId="17" xfId="0" applyFont="1" applyBorder="1" applyAlignment="1">
      <alignment horizontal="right" vertical="center"/>
    </xf>
    <xf numFmtId="0" fontId="11" fillId="0" borderId="9" xfId="0" applyFont="1" applyBorder="1" applyAlignment="1">
      <alignment horizontal="right" vertical="center"/>
    </xf>
    <xf numFmtId="0" fontId="10" fillId="0" borderId="14" xfId="0" applyFont="1" applyBorder="1" applyAlignment="1">
      <alignment horizontal="left" vertical="center"/>
    </xf>
    <xf numFmtId="0" fontId="10" fillId="0" borderId="5" xfId="0" applyFont="1" applyBorder="1" applyAlignment="1">
      <alignment horizontal="left" vertical="center"/>
    </xf>
    <xf numFmtId="0" fontId="13" fillId="0" borderId="5" xfId="0" applyFont="1" applyBorder="1" applyAlignment="1">
      <alignment horizontal="left" vertical="center"/>
    </xf>
    <xf numFmtId="0" fontId="7" fillId="0" borderId="5" xfId="0" applyFont="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2"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8" xfId="0" applyFont="1" applyFill="1" applyBorder="1" applyAlignment="1">
      <alignment horizontal="left" vertical="center"/>
    </xf>
    <xf numFmtId="0" fontId="16" fillId="2" borderId="17" xfId="0" applyFont="1" applyFill="1" applyBorder="1" applyAlignment="1">
      <alignment horizontal="left" vertical="center"/>
    </xf>
    <xf numFmtId="0" fontId="16" fillId="2" borderId="9" xfId="0" applyFont="1" applyFill="1" applyBorder="1" applyAlignment="1">
      <alignment horizontal="left" vertical="center"/>
    </xf>
    <xf numFmtId="166" fontId="16" fillId="2" borderId="17" xfId="0" applyNumberFormat="1" applyFont="1" applyFill="1" applyBorder="1" applyAlignment="1">
      <alignment horizontal="left" vertical="center"/>
    </xf>
    <xf numFmtId="0" fontId="28" fillId="0" borderId="4" xfId="0" applyFont="1" applyBorder="1" applyAlignment="1">
      <alignment horizontal="center" vertical="center" wrapText="1"/>
    </xf>
    <xf numFmtId="0" fontId="28" fillId="0" borderId="10" xfId="0"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0" fontId="28" fillId="0" borderId="4" xfId="0" applyFont="1" applyBorder="1" applyAlignment="1">
      <alignment horizontal="left" vertical="center" wrapText="1"/>
    </xf>
    <xf numFmtId="0" fontId="28" fillId="0" borderId="10" xfId="0" applyFont="1" applyBorder="1" applyAlignment="1">
      <alignment horizontal="left" vertical="center" wrapText="1"/>
    </xf>
    <xf numFmtId="0" fontId="28" fillId="0" borderId="4" xfId="0" applyFont="1" applyBorder="1" applyAlignment="1">
      <alignment horizontal="left" vertical="center"/>
    </xf>
    <xf numFmtId="0" fontId="28" fillId="0" borderId="10" xfId="0" applyFont="1" applyBorder="1" applyAlignment="1">
      <alignment horizontal="left" vertical="center"/>
    </xf>
    <xf numFmtId="0" fontId="2" fillId="2" borderId="4" xfId="0" applyFont="1" applyFill="1" applyBorder="1" applyAlignment="1">
      <alignment vertical="center" wrapText="1"/>
    </xf>
    <xf numFmtId="0" fontId="2" fillId="2" borderId="10" xfId="0" applyFont="1" applyFill="1" applyBorder="1" applyAlignment="1">
      <alignmen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49" fontId="28" fillId="0" borderId="4" xfId="0" applyNumberFormat="1"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 fillId="0" borderId="12" xfId="0" applyFont="1" applyBorder="1" applyAlignment="1">
      <alignment horizontal="center" vertical="center"/>
    </xf>
    <xf numFmtId="0" fontId="2" fillId="0" borderId="0" xfId="0" applyFont="1" applyAlignment="1">
      <alignment horizontal="center" vertical="center"/>
    </xf>
    <xf numFmtId="0" fontId="0" fillId="0" borderId="5" xfId="0" applyBorder="1" applyAlignment="1">
      <alignment horizontal="center" vertical="center"/>
    </xf>
    <xf numFmtId="0" fontId="2" fillId="0" borderId="17" xfId="0" applyFont="1" applyBorder="1" applyAlignment="1">
      <alignment horizontal="center" vertical="center"/>
    </xf>
    <xf numFmtId="0" fontId="5" fillId="2" borderId="5" xfId="0" applyFont="1" applyFill="1" applyBorder="1" applyAlignment="1">
      <alignment horizont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5" fillId="0" borderId="17" xfId="0" applyFont="1" applyBorder="1" applyAlignment="1">
      <alignment horizontal="center" vertical="top" wrapText="1"/>
    </xf>
    <xf numFmtId="0" fontId="7" fillId="0" borderId="17" xfId="4" applyFont="1" applyBorder="1" applyAlignment="1">
      <alignment horizontal="center" wrapText="1"/>
    </xf>
    <xf numFmtId="0" fontId="7" fillId="0" borderId="9" xfId="4" applyFont="1" applyBorder="1" applyAlignment="1">
      <alignment horizontal="center" wrapText="1"/>
    </xf>
    <xf numFmtId="0" fontId="3" fillId="2" borderId="8" xfId="5" applyFont="1" applyFill="1" applyBorder="1" applyAlignment="1">
      <alignment horizontal="center" vertical="center" wrapText="1"/>
    </xf>
    <xf numFmtId="0" fontId="3" fillId="2" borderId="17" xfId="5" applyFont="1" applyFill="1" applyBorder="1" applyAlignment="1">
      <alignment horizontal="center" vertical="center" wrapText="1"/>
    </xf>
    <xf numFmtId="0" fontId="3" fillId="2" borderId="9" xfId="5" applyFont="1" applyFill="1" applyBorder="1" applyAlignment="1">
      <alignment horizontal="center" vertical="center" wrapText="1"/>
    </xf>
    <xf numFmtId="0" fontId="3" fillId="2" borderId="8" xfId="5" applyFont="1" applyFill="1" applyBorder="1" applyAlignment="1">
      <alignment horizontal="left" vertical="center"/>
    </xf>
    <xf numFmtId="0" fontId="3" fillId="2" borderId="17" xfId="5" applyFont="1" applyFill="1" applyBorder="1" applyAlignment="1">
      <alignment horizontal="left" vertical="center"/>
    </xf>
    <xf numFmtId="0" fontId="3" fillId="2" borderId="9" xfId="5" applyFont="1" applyFill="1" applyBorder="1" applyAlignment="1">
      <alignment horizontal="left" vertical="center"/>
    </xf>
    <xf numFmtId="0" fontId="11" fillId="0" borderId="1" xfId="3" applyFont="1" applyBorder="1" applyAlignment="1">
      <alignment horizontal="center" vertical="center"/>
    </xf>
    <xf numFmtId="0" fontId="3" fillId="2" borderId="8" xfId="5" applyFont="1" applyFill="1" applyBorder="1" applyAlignment="1">
      <alignment horizontal="left" vertical="center" wrapText="1"/>
    </xf>
    <xf numFmtId="0" fontId="3" fillId="2" borderId="17" xfId="5" applyFont="1" applyFill="1" applyBorder="1" applyAlignment="1">
      <alignment horizontal="left" vertical="center" wrapText="1"/>
    </xf>
    <xf numFmtId="0" fontId="30" fillId="0" borderId="0" xfId="3" applyFont="1" applyAlignment="1">
      <alignment horizontal="left" vertical="center" wrapText="1"/>
    </xf>
    <xf numFmtId="0" fontId="30" fillId="0" borderId="0" xfId="3" applyFont="1" applyAlignment="1">
      <alignment horizontal="left" vertical="center"/>
    </xf>
    <xf numFmtId="0" fontId="20" fillId="0" borderId="0" xfId="3" applyFont="1" applyAlignment="1">
      <alignment horizontal="center" vertical="center" wrapText="1"/>
    </xf>
    <xf numFmtId="0" fontId="30" fillId="6" borderId="17" xfId="3" applyFont="1" applyFill="1" applyBorder="1" applyAlignment="1" applyProtection="1">
      <alignment horizontal="left" vertical="center" wrapText="1"/>
      <protection locked="0"/>
    </xf>
    <xf numFmtId="9" fontId="30" fillId="6" borderId="17" xfId="3" applyNumberFormat="1" applyFont="1" applyFill="1" applyBorder="1" applyAlignment="1" applyProtection="1">
      <alignment horizontal="left" vertical="center" wrapText="1"/>
      <protection locked="0"/>
    </xf>
    <xf numFmtId="0" fontId="20" fillId="3" borderId="34" xfId="3" applyFont="1" applyFill="1" applyBorder="1" applyAlignment="1">
      <alignment horizontal="center" vertical="center" wrapText="1"/>
    </xf>
    <xf numFmtId="0" fontId="20" fillId="3" borderId="35" xfId="3" applyFont="1" applyFill="1" applyBorder="1" applyAlignment="1">
      <alignment horizontal="center" vertical="center" wrapText="1"/>
    </xf>
    <xf numFmtId="0" fontId="20" fillId="3" borderId="36" xfId="3" applyFont="1" applyFill="1" applyBorder="1" applyAlignment="1">
      <alignment horizontal="center" vertical="center" wrapText="1"/>
    </xf>
    <xf numFmtId="0" fontId="20" fillId="3" borderId="37" xfId="3" applyFont="1" applyFill="1" applyBorder="1" applyAlignment="1">
      <alignment horizontal="center" vertical="center" wrapText="1"/>
    </xf>
    <xf numFmtId="0" fontId="20" fillId="3" borderId="38" xfId="3" applyFont="1" applyFill="1" applyBorder="1" applyAlignment="1">
      <alignment horizontal="center" vertical="center" wrapText="1"/>
    </xf>
    <xf numFmtId="0" fontId="35" fillId="3" borderId="39" xfId="3" applyFont="1" applyFill="1" applyBorder="1" applyAlignment="1">
      <alignment horizontal="center" vertical="center" wrapText="1"/>
    </xf>
    <xf numFmtId="0" fontId="35" fillId="3" borderId="26" xfId="3" applyFont="1" applyFill="1" applyBorder="1" applyAlignment="1">
      <alignment horizontal="center" vertical="center" wrapText="1"/>
    </xf>
    <xf numFmtId="0" fontId="46" fillId="0" borderId="0" xfId="3" applyFont="1" applyAlignment="1">
      <alignment vertical="center" wrapText="1"/>
    </xf>
    <xf numFmtId="0" fontId="44" fillId="0" borderId="0" xfId="3" applyFont="1" applyAlignment="1">
      <alignment horizontal="left" vertical="center"/>
    </xf>
    <xf numFmtId="0" fontId="44" fillId="0" borderId="8" xfId="3" applyFont="1" applyBorder="1" applyAlignment="1">
      <alignment horizontal="left" vertical="center" wrapText="1"/>
    </xf>
    <xf numFmtId="0" fontId="44" fillId="0" borderId="17" xfId="3" applyFont="1" applyBorder="1" applyAlignment="1">
      <alignment horizontal="left" vertical="center" wrapText="1"/>
    </xf>
    <xf numFmtId="0" fontId="44" fillId="0" borderId="9" xfId="3" applyFont="1" applyBorder="1" applyAlignment="1">
      <alignment horizontal="left" vertical="center" wrapText="1"/>
    </xf>
    <xf numFmtId="0" fontId="45" fillId="0" borderId="5" xfId="3" applyFont="1" applyBorder="1" applyAlignment="1">
      <alignment horizontal="center" vertical="center"/>
    </xf>
    <xf numFmtId="0" fontId="44" fillId="4" borderId="0" xfId="3" applyFont="1" applyFill="1" applyAlignment="1" applyProtection="1">
      <alignment horizontal="center" vertical="center"/>
      <protection locked="0"/>
    </xf>
    <xf numFmtId="0" fontId="36" fillId="4" borderId="0" xfId="3" applyFont="1" applyFill="1" applyAlignment="1" applyProtection="1">
      <alignment horizontal="center" vertical="center"/>
      <protection locked="0"/>
    </xf>
    <xf numFmtId="0" fontId="37" fillId="5" borderId="0" xfId="3" applyFont="1" applyFill="1" applyAlignment="1">
      <alignment horizontal="left" vertical="center" wrapText="1"/>
    </xf>
    <xf numFmtId="0" fontId="48" fillId="0" borderId="0" xfId="3" applyFont="1" applyAlignment="1">
      <alignment horizontal="left" vertical="center"/>
    </xf>
    <xf numFmtId="0" fontId="46" fillId="0" borderId="0" xfId="3" applyFont="1" applyAlignment="1">
      <alignment horizontal="center" vertical="center" wrapText="1"/>
    </xf>
    <xf numFmtId="0" fontId="5" fillId="0" borderId="1" xfId="3" applyBorder="1" applyAlignment="1">
      <alignment horizontal="center"/>
    </xf>
    <xf numFmtId="0" fontId="5" fillId="0" borderId="0" xfId="3" applyAlignment="1">
      <alignment horizontal="center" vertical="center" wrapText="1"/>
    </xf>
  </cellXfs>
  <cellStyles count="14">
    <cellStyle name="Hyperlink 2" xfId="1" xr:uid="{9CF1EA4F-4E7E-4B72-9751-981742E38641}"/>
    <cellStyle name="Moeda" xfId="2" builtinId="4"/>
    <cellStyle name="Moeda 4" xfId="13" xr:uid="{B0618DFA-7181-4AAF-B2B4-3D681AAE6128}"/>
    <cellStyle name="Normal" xfId="0" builtinId="0"/>
    <cellStyle name="Normal 2" xfId="3" xr:uid="{198DAAFE-9680-42DE-BD5E-C498EB98056A}"/>
    <cellStyle name="Normal_MediçãoMataBurro" xfId="4" xr:uid="{93FB99D0-893B-4D29-9818-305030CBBD16}"/>
    <cellStyle name="Normal_ORÇAMENTO PREFEITURA" xfId="5" xr:uid="{7E11A22B-CF4C-46D3-9FF3-BE6A5F1EFC9B}"/>
    <cellStyle name="Porcentagem" xfId="6" builtinId="5"/>
    <cellStyle name="Separador de milhares 2" xfId="7" xr:uid="{C9339387-5445-46CC-B9A1-8B8C95889B3E}"/>
    <cellStyle name="Separador de milhares 2 2" xfId="8" xr:uid="{F4C2E788-A228-4852-B849-800BA69F5DF7}"/>
    <cellStyle name="Separador de milhares 3" xfId="9" xr:uid="{8624F787-4CD2-4DEB-A98E-8AD966C4889A}"/>
    <cellStyle name="Separador de milhares 4" xfId="10" xr:uid="{33E0372D-B8E4-4F4B-83D3-6419FD71C0A6}"/>
    <cellStyle name="Vírgula" xfId="11" builtinId="3"/>
    <cellStyle name="Vírgula 2" xfId="12" xr:uid="{45F94692-55EE-4C24-A754-4A70F19673BA}"/>
  </cellStyles>
  <dxfs count="2">
    <dxf>
      <fill>
        <patternFill>
          <bgColor indexed="11"/>
        </patternFill>
      </fill>
    </dxf>
    <dxf>
      <font>
        <condense val="0"/>
        <extend val="0"/>
        <color auto="1"/>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220980</xdr:colOff>
      <xdr:row>0</xdr:row>
      <xdr:rowOff>22860</xdr:rowOff>
    </xdr:from>
    <xdr:to>
      <xdr:col>1</xdr:col>
      <xdr:colOff>533400</xdr:colOff>
      <xdr:row>0</xdr:row>
      <xdr:rowOff>510540</xdr:rowOff>
    </xdr:to>
    <xdr:pic>
      <xdr:nvPicPr>
        <xdr:cNvPr id="8809" name="Imagem 2">
          <a:extLst>
            <a:ext uri="{FF2B5EF4-FFF2-40B4-BE49-F238E27FC236}">
              <a16:creationId xmlns:a16="http://schemas.microsoft.com/office/drawing/2014/main" id="{A17868AD-4B3F-4F9C-99BB-85FAB79354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 y="22860"/>
          <a:ext cx="31242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17144</xdr:colOff>
      <xdr:row>0</xdr:row>
      <xdr:rowOff>17143</xdr:rowOff>
    </xdr:from>
    <xdr:to>
      <xdr:col>4</xdr:col>
      <xdr:colOff>45786</xdr:colOff>
      <xdr:row>1</xdr:row>
      <xdr:rowOff>0</xdr:rowOff>
    </xdr:to>
    <xdr:sp macro="" textlink="">
      <xdr:nvSpPr>
        <xdr:cNvPr id="4097" name="Text Box 6">
          <a:extLst>
            <a:ext uri="{FF2B5EF4-FFF2-40B4-BE49-F238E27FC236}">
              <a16:creationId xmlns:a16="http://schemas.microsoft.com/office/drawing/2014/main" id="{AEEEDB1B-2B63-45ED-586C-995380283BA0}"/>
            </a:ext>
          </a:extLst>
        </xdr:cNvPr>
        <xdr:cNvSpPr txBox="1">
          <a:spLocks noChangeArrowheads="1"/>
        </xdr:cNvSpPr>
      </xdr:nvSpPr>
      <xdr:spPr bwMode="auto">
        <a:xfrm>
          <a:off x="1400174" y="20953"/>
          <a:ext cx="8182040" cy="603887"/>
        </a:xfrm>
        <a:prstGeom prst="rect">
          <a:avLst/>
        </a:prstGeom>
        <a:noFill/>
        <a:ln w="9525">
          <a:noFill/>
          <a:miter lim="800000"/>
          <a:headEnd/>
          <a:tailEnd/>
        </a:ln>
      </xdr:spPr>
      <xdr:txBody>
        <a:bodyPr vertOverflow="clip" wrap="square" lIns="27432" tIns="22860" rIns="0" bIns="0" anchor="ctr" upright="1"/>
        <a:lstStyle/>
        <a:p>
          <a:pPr algn="ctr">
            <a:lnSpc>
              <a:spcPts val="1500"/>
            </a:lnSpc>
          </a:pPr>
          <a:r>
            <a:rPr lang="pt-BR" sz="1700" b="1">
              <a:effectLst/>
              <a:latin typeface="+mn-lt"/>
              <a:ea typeface="+mn-ea"/>
              <a:cs typeface="+mn-cs"/>
            </a:rPr>
            <a:t>PREFEITURA MUNICIPAL DE SANTA CRUZ DO ESCALVADO</a:t>
          </a:r>
          <a:endParaRPr lang="pt-BR" sz="1700">
            <a:effectLst/>
            <a:latin typeface="+mn-lt"/>
            <a:ea typeface="+mn-ea"/>
            <a:cs typeface="+mn-cs"/>
          </a:endParaRPr>
        </a:p>
        <a:p>
          <a:pPr algn="ctr">
            <a:lnSpc>
              <a:spcPts val="1000"/>
            </a:lnSpc>
          </a:pPr>
          <a:r>
            <a:rPr lang="pt-BR" sz="1100" b="1">
              <a:effectLst/>
              <a:latin typeface="+mn-lt"/>
              <a:ea typeface="+mn-ea"/>
              <a:cs typeface="+mn-cs"/>
            </a:rPr>
            <a:t>            ESTADO D MINAS GERAIS</a:t>
          </a:r>
          <a:endParaRPr lang="pt-BR" sz="1100">
            <a:effectLst/>
            <a:latin typeface="+mn-lt"/>
            <a:ea typeface="+mn-ea"/>
            <a:cs typeface="+mn-cs"/>
          </a:endParaRPr>
        </a:p>
        <a:p>
          <a:pPr algn="ctr">
            <a:lnSpc>
              <a:spcPts val="1100"/>
            </a:lnSpc>
          </a:pPr>
          <a:r>
            <a:rPr lang="pt-BR" sz="1100" b="1">
              <a:effectLst/>
              <a:latin typeface="+mn-lt"/>
              <a:ea typeface="+mn-ea"/>
              <a:cs typeface="+mn-cs"/>
            </a:rPr>
            <a:t>              Adm. 2025-2028</a:t>
          </a:r>
          <a:endParaRPr lang="pt-BR" sz="1100">
            <a:effectLst/>
            <a:latin typeface="+mn-lt"/>
            <a:ea typeface="+mn-ea"/>
            <a:cs typeface="+mn-cs"/>
          </a:endParaRPr>
        </a:p>
      </xdr:txBody>
    </xdr:sp>
    <xdr:clientData/>
  </xdr:twoCellAnchor>
  <xdr:twoCellAnchor editAs="oneCell">
    <xdr:from>
      <xdr:col>11</xdr:col>
      <xdr:colOff>236220</xdr:colOff>
      <xdr:row>30</xdr:row>
      <xdr:rowOff>137160</xdr:rowOff>
    </xdr:from>
    <xdr:to>
      <xdr:col>13</xdr:col>
      <xdr:colOff>137160</xdr:colOff>
      <xdr:row>45</xdr:row>
      <xdr:rowOff>53340</xdr:rowOff>
    </xdr:to>
    <xdr:pic>
      <xdr:nvPicPr>
        <xdr:cNvPr id="15509" name="Imagem 2">
          <a:extLst>
            <a:ext uri="{FF2B5EF4-FFF2-40B4-BE49-F238E27FC236}">
              <a16:creationId xmlns:a16="http://schemas.microsoft.com/office/drawing/2014/main" id="{AAF29A6A-8CAF-3DB3-31CE-8E07B318D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6300" y="7414260"/>
          <a:ext cx="2788920"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160020</xdr:colOff>
      <xdr:row>0</xdr:row>
      <xdr:rowOff>99060</xdr:rowOff>
    </xdr:from>
    <xdr:to>
      <xdr:col>1</xdr:col>
      <xdr:colOff>487680</xdr:colOff>
      <xdr:row>0</xdr:row>
      <xdr:rowOff>586740</xdr:rowOff>
    </xdr:to>
    <xdr:pic>
      <xdr:nvPicPr>
        <xdr:cNvPr id="15510" name="Imagem 2">
          <a:extLst>
            <a:ext uri="{FF2B5EF4-FFF2-40B4-BE49-F238E27FC236}">
              <a16:creationId xmlns:a16="http://schemas.microsoft.com/office/drawing/2014/main" id="{3BAB41A5-244A-20D6-6478-7C8229D214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99060"/>
          <a:ext cx="32766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1</xdr:row>
      <xdr:rowOff>53340</xdr:rowOff>
    </xdr:from>
    <xdr:to>
      <xdr:col>1</xdr:col>
      <xdr:colOff>388620</xdr:colOff>
      <xdr:row>1</xdr:row>
      <xdr:rowOff>541020</xdr:rowOff>
    </xdr:to>
    <xdr:pic>
      <xdr:nvPicPr>
        <xdr:cNvPr id="7015" name="Imagem 2">
          <a:extLst>
            <a:ext uri="{FF2B5EF4-FFF2-40B4-BE49-F238E27FC236}">
              <a16:creationId xmlns:a16="http://schemas.microsoft.com/office/drawing/2014/main" id="{755F218F-CC93-DAF5-95B2-C792F21196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340" y="53340"/>
          <a:ext cx="2971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xdr:colOff>
      <xdr:row>0</xdr:row>
      <xdr:rowOff>0</xdr:rowOff>
    </xdr:from>
    <xdr:to>
      <xdr:col>1</xdr:col>
      <xdr:colOff>15240</xdr:colOff>
      <xdr:row>0</xdr:row>
      <xdr:rowOff>0</xdr:rowOff>
    </xdr:to>
    <xdr:grpSp>
      <xdr:nvGrpSpPr>
        <xdr:cNvPr id="17048" name="Group 1">
          <a:extLst>
            <a:ext uri="{FF2B5EF4-FFF2-40B4-BE49-F238E27FC236}">
              <a16:creationId xmlns:a16="http://schemas.microsoft.com/office/drawing/2014/main" id="{EA16B45D-1032-6C14-E5CF-73E8C01D8A8B}"/>
            </a:ext>
          </a:extLst>
        </xdr:cNvPr>
        <xdr:cNvGrpSpPr>
          <a:grpSpLocks noChangeAspect="1"/>
        </xdr:cNvGrpSpPr>
      </xdr:nvGrpSpPr>
      <xdr:grpSpPr bwMode="auto">
        <a:xfrm>
          <a:off x="15240" y="0"/>
          <a:ext cx="428625" cy="0"/>
          <a:chOff x="1728" y="1296"/>
          <a:chExt cx="720" cy="720"/>
        </a:xfrm>
      </xdr:grpSpPr>
      <xdr:sp macro="" textlink="">
        <xdr:nvSpPr>
          <xdr:cNvPr id="17058" name="Line 2">
            <a:extLst>
              <a:ext uri="{FF2B5EF4-FFF2-40B4-BE49-F238E27FC236}">
                <a16:creationId xmlns:a16="http://schemas.microsoft.com/office/drawing/2014/main" id="{452ED5D1-F2F0-7DED-67D0-739C9453CC2B}"/>
              </a:ext>
            </a:extLst>
          </xdr:cNvPr>
          <xdr:cNvSpPr>
            <a:spLocks noChangeAspect="1" noChangeShapeType="1"/>
          </xdr:cNvSpPr>
        </xdr:nvSpPr>
        <xdr:spPr bwMode="auto">
          <a:xfrm flipV="1">
            <a:off x="1728" y="1440"/>
            <a:ext cx="0" cy="4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59" name="Line 3">
            <a:extLst>
              <a:ext uri="{FF2B5EF4-FFF2-40B4-BE49-F238E27FC236}">
                <a16:creationId xmlns:a16="http://schemas.microsoft.com/office/drawing/2014/main" id="{B07A9248-FA78-3289-C62A-ED3FC3ADBA26}"/>
              </a:ext>
            </a:extLst>
          </xdr:cNvPr>
          <xdr:cNvSpPr>
            <a:spLocks noChangeAspect="1" noChangeShapeType="1"/>
          </xdr:cNvSpPr>
        </xdr:nvSpPr>
        <xdr:spPr bwMode="auto">
          <a:xfrm flipV="1">
            <a:off x="1728" y="1296"/>
            <a:ext cx="144" cy="1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60" name="Line 4">
            <a:extLst>
              <a:ext uri="{FF2B5EF4-FFF2-40B4-BE49-F238E27FC236}">
                <a16:creationId xmlns:a16="http://schemas.microsoft.com/office/drawing/2014/main" id="{F0DA6C82-C154-58F5-0553-28554891EE11}"/>
              </a:ext>
            </a:extLst>
          </xdr:cNvPr>
          <xdr:cNvSpPr>
            <a:spLocks noChangeAspect="1" noChangeShapeType="1"/>
          </xdr:cNvSpPr>
        </xdr:nvSpPr>
        <xdr:spPr bwMode="auto">
          <a:xfrm>
            <a:off x="1728" y="1872"/>
            <a:ext cx="144" cy="14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61" name="Line 5">
            <a:extLst>
              <a:ext uri="{FF2B5EF4-FFF2-40B4-BE49-F238E27FC236}">
                <a16:creationId xmlns:a16="http://schemas.microsoft.com/office/drawing/2014/main" id="{3B682BB3-84DA-DE79-86E4-BB4D7663711F}"/>
              </a:ext>
            </a:extLst>
          </xdr:cNvPr>
          <xdr:cNvSpPr>
            <a:spLocks noChangeAspect="1" noChangeShapeType="1"/>
          </xdr:cNvSpPr>
        </xdr:nvSpPr>
        <xdr:spPr bwMode="auto">
          <a:xfrm>
            <a:off x="1872" y="1296"/>
            <a:ext cx="57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62" name="Line 6">
            <a:extLst>
              <a:ext uri="{FF2B5EF4-FFF2-40B4-BE49-F238E27FC236}">
                <a16:creationId xmlns:a16="http://schemas.microsoft.com/office/drawing/2014/main" id="{7674F1E7-1900-5E15-C107-C078E990DE24}"/>
              </a:ext>
            </a:extLst>
          </xdr:cNvPr>
          <xdr:cNvSpPr>
            <a:spLocks noChangeAspect="1" noChangeShapeType="1"/>
          </xdr:cNvSpPr>
        </xdr:nvSpPr>
        <xdr:spPr bwMode="auto">
          <a:xfrm>
            <a:off x="1872" y="2016"/>
            <a:ext cx="57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2</xdr:col>
      <xdr:colOff>0</xdr:colOff>
      <xdr:row>40</xdr:row>
      <xdr:rowOff>0</xdr:rowOff>
    </xdr:from>
    <xdr:to>
      <xdr:col>2</xdr:col>
      <xdr:colOff>15240</xdr:colOff>
      <xdr:row>97</xdr:row>
      <xdr:rowOff>0</xdr:rowOff>
    </xdr:to>
    <xdr:sp macro="" textlink="">
      <xdr:nvSpPr>
        <xdr:cNvPr id="17049" name="Text Box 7">
          <a:extLst>
            <a:ext uri="{FF2B5EF4-FFF2-40B4-BE49-F238E27FC236}">
              <a16:creationId xmlns:a16="http://schemas.microsoft.com/office/drawing/2014/main" id="{DF7CB4D4-E26E-5FF6-0A8B-E76A54C4F0A4}"/>
            </a:ext>
          </a:extLst>
        </xdr:cNvPr>
        <xdr:cNvSpPr txBox="1">
          <a:spLocks noChangeArrowheads="1"/>
        </xdr:cNvSpPr>
      </xdr:nvSpPr>
      <xdr:spPr bwMode="auto">
        <a:xfrm>
          <a:off x="2956560" y="6995160"/>
          <a:ext cx="15240" cy="9555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15240</xdr:colOff>
      <xdr:row>0</xdr:row>
      <xdr:rowOff>0</xdr:rowOff>
    </xdr:from>
    <xdr:to>
      <xdr:col>1</xdr:col>
      <xdr:colOff>15240</xdr:colOff>
      <xdr:row>0</xdr:row>
      <xdr:rowOff>0</xdr:rowOff>
    </xdr:to>
    <xdr:pic>
      <xdr:nvPicPr>
        <xdr:cNvPr id="17050" name="Picture 8" descr="brasao">
          <a:extLst>
            <a:ext uri="{FF2B5EF4-FFF2-40B4-BE49-F238E27FC236}">
              <a16:creationId xmlns:a16="http://schemas.microsoft.com/office/drawing/2014/main" id="{C04DB907-56A7-4EF8-779E-4FBD893F1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0"/>
          <a:ext cx="4419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434340</xdr:colOff>
      <xdr:row>0</xdr:row>
      <xdr:rowOff>15241</xdr:rowOff>
    </xdr:from>
    <xdr:to>
      <xdr:col>8</xdr:col>
      <xdr:colOff>474331</xdr:colOff>
      <xdr:row>0</xdr:row>
      <xdr:rowOff>528132</xdr:rowOff>
    </xdr:to>
    <xdr:sp macro="" textlink="">
      <xdr:nvSpPr>
        <xdr:cNvPr id="10" name="Text Box 6">
          <a:extLst>
            <a:ext uri="{FF2B5EF4-FFF2-40B4-BE49-F238E27FC236}">
              <a16:creationId xmlns:a16="http://schemas.microsoft.com/office/drawing/2014/main" id="{1449F952-55B0-FBF3-80C6-C08E00E221E2}"/>
            </a:ext>
          </a:extLst>
        </xdr:cNvPr>
        <xdr:cNvSpPr txBox="1">
          <a:spLocks noChangeArrowheads="1"/>
        </xdr:cNvSpPr>
      </xdr:nvSpPr>
      <xdr:spPr bwMode="auto">
        <a:xfrm>
          <a:off x="1106805" y="30481"/>
          <a:ext cx="7160895" cy="788669"/>
        </a:xfrm>
        <a:prstGeom prst="rect">
          <a:avLst/>
        </a:prstGeom>
        <a:noFill/>
        <a:ln w="9525">
          <a:noFill/>
          <a:miter lim="800000"/>
          <a:headEnd/>
          <a:tailEnd/>
        </a:ln>
      </xdr:spPr>
      <xdr:txBody>
        <a:bodyPr vertOverflow="clip" wrap="square" lIns="27432" tIns="22860" rIns="0" bIns="0" anchor="t" upright="1"/>
        <a:lstStyle/>
        <a:p>
          <a:pPr algn="ctr">
            <a:lnSpc>
              <a:spcPts val="2000"/>
            </a:lnSpc>
          </a:pPr>
          <a:r>
            <a:rPr lang="pt-BR" sz="1700" b="1">
              <a:effectLst/>
              <a:latin typeface="+mn-lt"/>
              <a:ea typeface="+mn-ea"/>
              <a:cs typeface="+mn-cs"/>
            </a:rPr>
            <a:t>PREFEITURA MUNICIPAL DE SANTA CRUZ DO ESCALVADO</a:t>
          </a:r>
          <a:endParaRPr lang="pt-BR" sz="1700">
            <a:effectLst/>
          </a:endParaRPr>
        </a:p>
        <a:p>
          <a:pPr algn="ctr"/>
          <a:r>
            <a:rPr lang="pt-BR" sz="1100" b="1">
              <a:effectLst/>
              <a:latin typeface="+mn-lt"/>
              <a:ea typeface="+mn-ea"/>
              <a:cs typeface="+mn-cs"/>
            </a:rPr>
            <a:t>            ESTADO DE MINAS GERAIS</a:t>
          </a:r>
          <a:endParaRPr lang="pt-BR" sz="1100">
            <a:effectLst/>
          </a:endParaRPr>
        </a:p>
        <a:p>
          <a:pPr algn="ctr"/>
          <a:r>
            <a:rPr lang="pt-BR" sz="1100" b="1">
              <a:effectLst/>
              <a:latin typeface="+mn-lt"/>
              <a:ea typeface="+mn-ea"/>
              <a:cs typeface="+mn-cs"/>
            </a:rPr>
            <a:t>              Adm. 2025-2028</a:t>
          </a:r>
          <a:endParaRPr lang="pt-BR" sz="1100">
            <a:effectLst/>
          </a:endParaRPr>
        </a:p>
        <a:p>
          <a:pPr algn="ctr" rtl="1">
            <a:lnSpc>
              <a:spcPts val="1800"/>
            </a:lnSpc>
            <a:defRPr sz="1000"/>
          </a:pPr>
          <a:endParaRPr lang="pt-BR" sz="1800" b="0" i="0" strike="noStrike">
            <a:solidFill>
              <a:srgbClr val="000000"/>
            </a:solidFill>
            <a:latin typeface="Arial"/>
            <a:cs typeface="Arial"/>
          </a:endParaRPr>
        </a:p>
      </xdr:txBody>
    </xdr:sp>
    <xdr:clientData/>
  </xdr:twoCellAnchor>
  <xdr:twoCellAnchor editAs="oneCell">
    <xdr:from>
      <xdr:col>1</xdr:col>
      <xdr:colOff>205740</xdr:colOff>
      <xdr:row>0</xdr:row>
      <xdr:rowOff>38100</xdr:rowOff>
    </xdr:from>
    <xdr:to>
      <xdr:col>1</xdr:col>
      <xdr:colOff>518160</xdr:colOff>
      <xdr:row>0</xdr:row>
      <xdr:rowOff>525780</xdr:rowOff>
    </xdr:to>
    <xdr:pic>
      <xdr:nvPicPr>
        <xdr:cNvPr id="17052" name="Imagem 2">
          <a:extLst>
            <a:ext uri="{FF2B5EF4-FFF2-40B4-BE49-F238E27FC236}">
              <a16:creationId xmlns:a16="http://schemas.microsoft.com/office/drawing/2014/main" id="{E8B9E97B-9F0D-833D-BB4C-EEB1767063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38100"/>
          <a:ext cx="31242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518160</xdr:colOff>
      <xdr:row>28</xdr:row>
      <xdr:rowOff>38100</xdr:rowOff>
    </xdr:from>
    <xdr:to>
      <xdr:col>3</xdr:col>
      <xdr:colOff>22860</xdr:colOff>
      <xdr:row>31</xdr:row>
      <xdr:rowOff>0</xdr:rowOff>
    </xdr:to>
    <xdr:pic>
      <xdr:nvPicPr>
        <xdr:cNvPr id="17530" name="Picture 3">
          <a:extLst>
            <a:ext uri="{FF2B5EF4-FFF2-40B4-BE49-F238E27FC236}">
              <a16:creationId xmlns:a16="http://schemas.microsoft.com/office/drawing/2014/main" id="{CD28B0A9-7316-40B0-E568-6623AE020E4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8160" y="8473440"/>
          <a:ext cx="40462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201930</xdr:colOff>
      <xdr:row>20</xdr:row>
      <xdr:rowOff>17145</xdr:rowOff>
    </xdr:from>
    <xdr:to>
      <xdr:col>14</xdr:col>
      <xdr:colOff>47524</xdr:colOff>
      <xdr:row>21</xdr:row>
      <xdr:rowOff>89054</xdr:rowOff>
    </xdr:to>
    <xdr:sp macro="" textlink="">
      <xdr:nvSpPr>
        <xdr:cNvPr id="3" name="AutoShape 23">
          <a:extLst>
            <a:ext uri="{FF2B5EF4-FFF2-40B4-BE49-F238E27FC236}">
              <a16:creationId xmlns:a16="http://schemas.microsoft.com/office/drawing/2014/main" id="{A04629A5-D869-7370-32EE-04745FA77C79}"/>
            </a:ext>
          </a:extLst>
        </xdr:cNvPr>
        <xdr:cNvSpPr>
          <a:spLocks noChangeArrowheads="1"/>
        </xdr:cNvSpPr>
      </xdr:nvSpPr>
      <xdr:spPr bwMode="auto">
        <a:xfrm>
          <a:off x="7322820" y="5878830"/>
          <a:ext cx="5379671" cy="377363"/>
        </a:xfrm>
        <a:prstGeom prst="leftArrowCallout">
          <a:avLst>
            <a:gd name="adj1" fmla="val 25000"/>
            <a:gd name="adj2" fmla="val 25000"/>
            <a:gd name="adj3" fmla="val 205303"/>
            <a:gd name="adj4" fmla="val 66667"/>
          </a:avLst>
        </a:prstGeom>
        <a:solidFill>
          <a:srgbClr val="0000FF"/>
        </a:solidFill>
        <a:ln w="9525">
          <a:solidFill>
            <a:srgbClr val="000000"/>
          </a:solidFill>
          <a:miter lim="800000"/>
          <a:headEnd/>
          <a:tailEnd/>
        </a:ln>
      </xdr:spPr>
      <xdr:txBody>
        <a:bodyPr vertOverflow="clip" wrap="square" lIns="27432" tIns="18288" rIns="0" bIns="0" anchor="t" upright="1"/>
        <a:lstStyle/>
        <a:p>
          <a:pPr algn="l" rtl="0">
            <a:defRPr sz="1000"/>
          </a:pPr>
          <a:r>
            <a:rPr lang="en-US" sz="600" b="1" i="0" u="none" strike="noStrike" baseline="0">
              <a:solidFill>
                <a:srgbClr val="FF9900"/>
              </a:solidFill>
              <a:latin typeface="Arial"/>
              <a:cs typeface="Arial"/>
            </a:rPr>
            <a:t>OS PERCENTUAIS DE ISS FORAM CALCULADOS CONSIDERANDO QUE A MÃO-DE-OBRA CORRESPONDE A BASE DE CÁLCULO DO PREÇO TOTAL DA OBRA DECLARADO PELO TOMADOR.</a:t>
          </a:r>
        </a:p>
      </xdr:txBody>
    </xdr:sp>
    <xdr:clientData/>
  </xdr:twoCellAnchor>
  <xdr:twoCellAnchor>
    <xdr:from>
      <xdr:col>5</xdr:col>
      <xdr:colOff>47625</xdr:colOff>
      <xdr:row>22</xdr:row>
      <xdr:rowOff>154305</xdr:rowOff>
    </xdr:from>
    <xdr:to>
      <xdr:col>13</xdr:col>
      <xdr:colOff>87608</xdr:colOff>
      <xdr:row>23</xdr:row>
      <xdr:rowOff>69765</xdr:rowOff>
    </xdr:to>
    <xdr:sp macro="" textlink="">
      <xdr:nvSpPr>
        <xdr:cNvPr id="4" name="AutoShape 25">
          <a:extLst>
            <a:ext uri="{FF2B5EF4-FFF2-40B4-BE49-F238E27FC236}">
              <a16:creationId xmlns:a16="http://schemas.microsoft.com/office/drawing/2014/main" id="{0C8E0B90-3022-2F1F-3ADF-ED3C233FD118}"/>
            </a:ext>
          </a:extLst>
        </xdr:cNvPr>
        <xdr:cNvSpPr>
          <a:spLocks noChangeArrowheads="1"/>
        </xdr:cNvSpPr>
      </xdr:nvSpPr>
      <xdr:spPr bwMode="auto">
        <a:xfrm>
          <a:off x="6930390" y="6800850"/>
          <a:ext cx="5265420" cy="381000"/>
        </a:xfrm>
        <a:prstGeom prst="leftArrowCallout">
          <a:avLst>
            <a:gd name="adj1" fmla="val 25000"/>
            <a:gd name="adj2" fmla="val 25000"/>
            <a:gd name="adj3" fmla="val 265686"/>
            <a:gd name="adj4" fmla="val 66667"/>
          </a:avLst>
        </a:prstGeom>
        <a:solidFill>
          <a:srgbClr val="0000FF"/>
        </a:solidFill>
        <a:ln w="9525">
          <a:solidFill>
            <a:srgbClr val="000000"/>
          </a:solidFill>
          <a:miter lim="800000"/>
          <a:headEnd/>
          <a:tailEnd/>
        </a:ln>
      </xdr:spPr>
      <xdr:txBody>
        <a:bodyPr vertOverflow="clip" wrap="square" lIns="27432" tIns="18288" rIns="0" bIns="0" anchor="t" upright="1"/>
        <a:lstStyle/>
        <a:p>
          <a:pPr algn="l" rtl="0">
            <a:defRPr sz="1000"/>
          </a:pPr>
          <a:r>
            <a:rPr lang="en-US" sz="600" b="1" i="0" u="none" strike="noStrike" baseline="0">
              <a:solidFill>
                <a:srgbClr val="FF9900"/>
              </a:solidFill>
              <a:latin typeface="Arial"/>
              <a:cs typeface="Arial"/>
            </a:rPr>
            <a:t>O VALOR DO BDI SÓ É CALCULADO APÓS O PREENCHIMENTO DE TODAS AS CÉLULAS EM AMARELO!</a:t>
          </a:r>
        </a:p>
      </xdr:txBody>
    </xdr:sp>
    <xdr:clientData/>
  </xdr:twoCellAnchor>
  <xdr:twoCellAnchor>
    <xdr:from>
      <xdr:col>0</xdr:col>
      <xdr:colOff>17145</xdr:colOff>
      <xdr:row>0</xdr:row>
      <xdr:rowOff>20955</xdr:rowOff>
    </xdr:from>
    <xdr:to>
      <xdr:col>5</xdr:col>
      <xdr:colOff>17147</xdr:colOff>
      <xdr:row>0</xdr:row>
      <xdr:rowOff>222156</xdr:rowOff>
    </xdr:to>
    <xdr:sp macro="" textlink="">
      <xdr:nvSpPr>
        <xdr:cNvPr id="5" name="AutoShape 27">
          <a:extLst>
            <a:ext uri="{FF2B5EF4-FFF2-40B4-BE49-F238E27FC236}">
              <a16:creationId xmlns:a16="http://schemas.microsoft.com/office/drawing/2014/main" id="{04AFF6A5-8130-8626-E6EC-15508F9038F7}"/>
            </a:ext>
          </a:extLst>
        </xdr:cNvPr>
        <xdr:cNvSpPr>
          <a:spLocks noChangeArrowheads="1"/>
        </xdr:cNvSpPr>
      </xdr:nvSpPr>
      <xdr:spPr bwMode="auto">
        <a:xfrm>
          <a:off x="19050" y="64770"/>
          <a:ext cx="6858002" cy="467919"/>
        </a:xfrm>
        <a:prstGeom prst="roundRect">
          <a:avLst>
            <a:gd name="adj" fmla="val 16667"/>
          </a:avLst>
        </a:prstGeom>
        <a:solidFill>
          <a:srgbClr val="0000FF"/>
        </a:solidFill>
        <a:ln w="9525">
          <a:solidFill>
            <a:srgbClr val="000000"/>
          </a:solidFill>
          <a:round/>
          <a:headEnd/>
          <a:tailEnd/>
        </a:ln>
      </xdr:spPr>
      <xdr:txBody>
        <a:bodyPr vertOverflow="clip" wrap="square" lIns="36576" tIns="32004" rIns="36576" bIns="0" anchor="t" upright="1"/>
        <a:lstStyle/>
        <a:p>
          <a:pPr algn="ctr" rtl="0">
            <a:defRPr sz="1000"/>
          </a:pPr>
          <a:r>
            <a:rPr lang="en-US" sz="1600" b="0" i="0" u="none" strike="noStrike" baseline="0">
              <a:solidFill>
                <a:srgbClr val="FF9900"/>
              </a:solidFill>
              <a:latin typeface="Arial"/>
              <a:cs typeface="Arial"/>
            </a:rPr>
            <a:t>**********ALTERAR SOMENTE AS CÉLULAS AMARELAS***********</a:t>
          </a:r>
        </a:p>
        <a:p>
          <a:pPr algn="ctr" rtl="0">
            <a:defRPr sz="1000"/>
          </a:pPr>
          <a:r>
            <a:rPr lang="en-US" sz="1600" b="0" i="0" u="none" strike="noStrike" baseline="0">
              <a:solidFill>
                <a:srgbClr val="FF9900"/>
              </a:solidFill>
              <a:latin typeface="Arial"/>
              <a:cs typeface="Arial"/>
            </a:rPr>
            <a:t>(Atentar para as observações nos quadros na lateral direita!)</a:t>
          </a:r>
        </a:p>
      </xdr:txBody>
    </xdr:sp>
    <xdr:clientData/>
  </xdr:twoCellAnchor>
  <xdr:twoCellAnchor>
    <xdr:from>
      <xdr:col>7</xdr:col>
      <xdr:colOff>72390</xdr:colOff>
      <xdr:row>25</xdr:row>
      <xdr:rowOff>64770</xdr:rowOff>
    </xdr:from>
    <xdr:to>
      <xdr:col>13</xdr:col>
      <xdr:colOff>87630</xdr:colOff>
      <xdr:row>28</xdr:row>
      <xdr:rowOff>20541</xdr:rowOff>
    </xdr:to>
    <xdr:sp macro="" textlink="">
      <xdr:nvSpPr>
        <xdr:cNvPr id="6" name="AutoShape 30">
          <a:extLst>
            <a:ext uri="{FF2B5EF4-FFF2-40B4-BE49-F238E27FC236}">
              <a16:creationId xmlns:a16="http://schemas.microsoft.com/office/drawing/2014/main" id="{D9423F30-AAC9-4122-2E9A-97C09524FB02}"/>
            </a:ext>
          </a:extLst>
        </xdr:cNvPr>
        <xdr:cNvSpPr>
          <a:spLocks/>
        </xdr:cNvSpPr>
      </xdr:nvSpPr>
      <xdr:spPr bwMode="auto">
        <a:xfrm>
          <a:off x="8385810" y="8012430"/>
          <a:ext cx="3813810" cy="468372"/>
        </a:xfrm>
        <a:prstGeom prst="borderCallout2">
          <a:avLst>
            <a:gd name="adj1" fmla="val 26088"/>
            <a:gd name="adj2" fmla="val -2046"/>
            <a:gd name="adj3" fmla="val 26088"/>
            <a:gd name="adj4" fmla="val -23019"/>
            <a:gd name="adj5" fmla="val -13042"/>
            <a:gd name="adj6" fmla="val -39898"/>
          </a:avLst>
        </a:prstGeom>
        <a:solidFill>
          <a:srgbClr val="0000FF"/>
        </a:solidFill>
        <a:ln w="9525">
          <a:solidFill>
            <a:srgbClr val="000000"/>
          </a:solidFill>
          <a:miter lim="800000"/>
          <a:headEnd/>
          <a:tailEnd/>
        </a:ln>
      </xdr:spPr>
      <xdr:txBody>
        <a:bodyPr vertOverflow="clip" wrap="square" lIns="27432" tIns="18288" rIns="0" bIns="0" anchor="t" upright="1"/>
        <a:lstStyle/>
        <a:p>
          <a:pPr algn="l" rtl="0">
            <a:defRPr sz="1000"/>
          </a:pPr>
          <a:r>
            <a:rPr lang="en-US" sz="600" b="1" i="0" u="none" strike="noStrike" baseline="0">
              <a:solidFill>
                <a:srgbClr val="FF9900"/>
              </a:solidFill>
              <a:latin typeface="Arial"/>
              <a:cs typeface="Arial"/>
            </a:rPr>
            <a:t>SE O BDI CALCULADO ESTIVER NO INTERVALO DE LIMITES DO BDI ESTA CÉLULA INDICARÁ "OK", CASO CONTRÁRIO INDICARÁ "INADEQUADO" E OS COMPONENTES DO BDI DEVEM SER REDISTRIBUÍDOS ATÉ QUE TODAS OS LIMITANTES ACEITOS PELO TCU SEJAM ATENDIDOS!</a:t>
          </a:r>
        </a:p>
      </xdr:txBody>
    </xdr:sp>
    <xdr:clientData/>
  </xdr:twoCellAnchor>
  <xdr:twoCellAnchor>
    <xdr:from>
      <xdr:col>0</xdr:col>
      <xdr:colOff>0</xdr:colOff>
      <xdr:row>47</xdr:row>
      <xdr:rowOff>20955</xdr:rowOff>
    </xdr:from>
    <xdr:to>
      <xdr:col>4</xdr:col>
      <xdr:colOff>404339</xdr:colOff>
      <xdr:row>49</xdr:row>
      <xdr:rowOff>34032</xdr:rowOff>
    </xdr:to>
    <xdr:sp macro="" textlink="">
      <xdr:nvSpPr>
        <xdr:cNvPr id="7" name="AutoShape 31">
          <a:extLst>
            <a:ext uri="{FF2B5EF4-FFF2-40B4-BE49-F238E27FC236}">
              <a16:creationId xmlns:a16="http://schemas.microsoft.com/office/drawing/2014/main" id="{3DECDDB8-67F4-293B-CB2C-B2523416BE4D}"/>
            </a:ext>
          </a:extLst>
        </xdr:cNvPr>
        <xdr:cNvSpPr>
          <a:spLocks noChangeArrowheads="1"/>
        </xdr:cNvSpPr>
      </xdr:nvSpPr>
      <xdr:spPr bwMode="auto">
        <a:xfrm>
          <a:off x="0" y="12477750"/>
          <a:ext cx="6595229" cy="537106"/>
        </a:xfrm>
        <a:prstGeom prst="roundRect">
          <a:avLst>
            <a:gd name="adj" fmla="val 16667"/>
          </a:avLst>
        </a:prstGeom>
        <a:solidFill>
          <a:srgbClr val="0000FF"/>
        </a:solidFill>
        <a:ln w="9525">
          <a:solidFill>
            <a:srgbClr val="000000"/>
          </a:solidFill>
          <a:round/>
          <a:headEnd/>
          <a:tailEnd/>
        </a:ln>
      </xdr:spPr>
      <xdr:txBody>
        <a:bodyPr vertOverflow="clip" wrap="square" lIns="27432" tIns="18288" rIns="0" bIns="0" anchor="t" upright="1"/>
        <a:lstStyle/>
        <a:p>
          <a:pPr algn="l" rtl="0">
            <a:defRPr sz="1000"/>
          </a:pPr>
          <a:r>
            <a:rPr lang="en-US" sz="700" b="1" i="0" u="none" strike="noStrike" baseline="0">
              <a:solidFill>
                <a:srgbClr val="FF9900"/>
              </a:solidFill>
              <a:latin typeface="Arial"/>
              <a:cs typeface="Arial"/>
            </a:rPr>
            <a:t>OBS:</a:t>
          </a:r>
        </a:p>
        <a:p>
          <a:pPr algn="l" rtl="0">
            <a:defRPr sz="1000"/>
          </a:pPr>
          <a:r>
            <a:rPr lang="en-US" sz="700" b="1" i="0" u="none" strike="noStrike" baseline="0">
              <a:solidFill>
                <a:srgbClr val="FF9900"/>
              </a:solidFill>
              <a:latin typeface="Arial"/>
              <a:cs typeface="Arial"/>
            </a:rPr>
            <a:t>(*) - PODE HAVER GARANTIA DESDE QUE PREVISTO NO EDITAL DA LICITAÇÃO E NO CONTRATO DE EXECUÇÃO.</a:t>
          </a:r>
        </a:p>
        <a:p>
          <a:pPr algn="l" rtl="0">
            <a:defRPr sz="1000"/>
          </a:pPr>
          <a:r>
            <a:rPr lang="en-US" sz="700" b="1" i="0" u="none" strike="noStrike" baseline="0">
              <a:solidFill>
                <a:srgbClr val="FF9900"/>
              </a:solidFill>
              <a:latin typeface="Arial"/>
              <a:cs typeface="Arial"/>
            </a:rPr>
            <a:t>(**) - PODEM SER ACEITOS OUTROS PERCENTUAIS DE ISS DESDE QUE DEVIDAMENTE EMBASADOS NA LEGISLAÇÃO MUNICIPAL.</a:t>
          </a:r>
        </a:p>
      </xdr:txBody>
    </xdr:sp>
    <xdr:clientData/>
  </xdr:twoCellAnchor>
  <xdr:twoCellAnchor>
    <xdr:from>
      <xdr:col>6</xdr:col>
      <xdr:colOff>102870</xdr:colOff>
      <xdr:row>12</xdr:row>
      <xdr:rowOff>112395</xdr:rowOff>
    </xdr:from>
    <xdr:to>
      <xdr:col>19</xdr:col>
      <xdr:colOff>139100</xdr:colOff>
      <xdr:row>19</xdr:row>
      <xdr:rowOff>49407</xdr:rowOff>
    </xdr:to>
    <xdr:sp macro="" textlink="">
      <xdr:nvSpPr>
        <xdr:cNvPr id="8" name="AutoShape 34">
          <a:extLst>
            <a:ext uri="{FF2B5EF4-FFF2-40B4-BE49-F238E27FC236}">
              <a16:creationId xmlns:a16="http://schemas.microsoft.com/office/drawing/2014/main" id="{EB194456-0BEC-7B10-0A1F-F318F6CC692B}"/>
            </a:ext>
          </a:extLst>
        </xdr:cNvPr>
        <xdr:cNvSpPr>
          <a:spLocks/>
        </xdr:cNvSpPr>
      </xdr:nvSpPr>
      <xdr:spPr bwMode="auto">
        <a:xfrm>
          <a:off x="7715250" y="4255770"/>
          <a:ext cx="8374387" cy="1535430"/>
        </a:xfrm>
        <a:prstGeom prst="borderCallout2">
          <a:avLst>
            <a:gd name="adj1" fmla="val 7546"/>
            <a:gd name="adj2" fmla="val -931"/>
            <a:gd name="adj3" fmla="val 7546"/>
            <a:gd name="adj4" fmla="val -4528"/>
            <a:gd name="adj5" fmla="val -52199"/>
            <a:gd name="adj6" fmla="val -8245"/>
          </a:avLst>
        </a:prstGeom>
        <a:solidFill>
          <a:srgbClr val="0000FF"/>
        </a:solidFill>
        <a:ln w="9525">
          <a:solidFill>
            <a:srgbClr val="000000"/>
          </a:solidFill>
          <a:miter lim="800000"/>
          <a:headEnd/>
          <a:tailEnd/>
        </a:ln>
      </xdr:spPr>
      <xdr:txBody>
        <a:bodyPr vertOverflow="clip" wrap="square" lIns="27432" tIns="18288" rIns="0" bIns="0" anchor="t" upright="1"/>
        <a:lstStyle/>
        <a:p>
          <a:pPr algn="l" rtl="0">
            <a:defRPr sz="1000"/>
          </a:pPr>
          <a:r>
            <a:rPr lang="en-US" sz="600" b="1" i="0" u="none" strike="noStrike" baseline="0">
              <a:solidFill>
                <a:srgbClr val="FF9900"/>
              </a:solidFill>
              <a:latin typeface="Arial"/>
              <a:cs typeface="Arial"/>
            </a:rPr>
            <a:t>Foi publicada, em 19 de julho de 2013, a Lei n° 12.844/2013 que altera os artigos 7º, 8º, 9º e o Anexo I da Lei n° 12.546/2011 e o artigo 14, da Lei n° 11.774/2008, alterando os setores a serem beneficiados com o regime de desoneração da folha de pagamentos que substitui a contribuição previdenciária patronal de 20%, sobre o total da folha de pagamento pela contribuição previdenciária sobre a receita bruta.</a:t>
          </a:r>
        </a:p>
        <a:p>
          <a:pPr algn="l" rtl="0">
            <a:defRPr sz="1000"/>
          </a:pPr>
          <a:r>
            <a:rPr lang="en-US" sz="600" b="1" i="0" u="none" strike="noStrike" baseline="0">
              <a:solidFill>
                <a:srgbClr val="FF9900"/>
              </a:solidFill>
              <a:latin typeface="Arial"/>
              <a:cs typeface="Arial"/>
            </a:rPr>
            <a:t>Com essa alteração os setores a seguir ficam sujeitos ao recolhimento da contribuição previdenciária à alíquota de 2% sobre o valor da receita bruta.</a:t>
          </a:r>
        </a:p>
        <a:p>
          <a:pPr algn="l" rtl="0">
            <a:defRPr sz="1000"/>
          </a:pPr>
          <a:r>
            <a:rPr lang="en-US" sz="600" b="1" i="0" u="none" strike="noStrike" baseline="0">
              <a:solidFill>
                <a:srgbClr val="FF9900"/>
              </a:solidFill>
              <a:latin typeface="Arial"/>
              <a:cs typeface="Arial"/>
            </a:rPr>
            <a:t>=&gt;Construção Civil, enquadrados nos seguintes grupos da CNAE 2.0: </a:t>
          </a:r>
        </a:p>
        <a:p>
          <a:pPr algn="l" rtl="0">
            <a:defRPr sz="1000"/>
          </a:pPr>
          <a:r>
            <a:rPr lang="en-US" sz="600" b="1" i="0" u="none" strike="noStrike" baseline="0">
              <a:solidFill>
                <a:srgbClr val="FF9900"/>
              </a:solidFill>
              <a:latin typeface="Arial"/>
              <a:cs typeface="Arial"/>
            </a:rPr>
            <a:t>- 412 – Construção de Edifícios;</a:t>
          </a:r>
        </a:p>
        <a:p>
          <a:pPr algn="l" rtl="0">
            <a:defRPr sz="1000"/>
          </a:pPr>
          <a:r>
            <a:rPr lang="en-US" sz="600" b="1" i="0" u="none" strike="noStrike" baseline="0">
              <a:solidFill>
                <a:srgbClr val="FF9900"/>
              </a:solidFill>
              <a:latin typeface="Arial"/>
              <a:cs typeface="Arial"/>
            </a:rPr>
            <a:t>- 432 – Instalações Elétricas, Hidráulicas e Outras Instalações em Construções;</a:t>
          </a:r>
        </a:p>
        <a:p>
          <a:pPr algn="l" rtl="0">
            <a:defRPr sz="1000"/>
          </a:pPr>
          <a:r>
            <a:rPr lang="en-US" sz="600" b="1" i="0" u="none" strike="noStrike" baseline="0">
              <a:solidFill>
                <a:srgbClr val="FF9900"/>
              </a:solidFill>
              <a:latin typeface="Arial"/>
              <a:cs typeface="Arial"/>
            </a:rPr>
            <a:t>- 433 – Obras de Acabamento;</a:t>
          </a:r>
        </a:p>
        <a:p>
          <a:pPr algn="l" rtl="0">
            <a:defRPr sz="1000"/>
          </a:pPr>
          <a:r>
            <a:rPr lang="en-US" sz="600" b="1" i="0" u="none" strike="noStrike" baseline="0">
              <a:solidFill>
                <a:srgbClr val="FF9900"/>
              </a:solidFill>
              <a:latin typeface="Arial"/>
              <a:cs typeface="Arial"/>
            </a:rPr>
            <a:t>- 439 – Outros Serviços Especializados para Construção (4391-6 – Obras de Fundações e 4399-1 – Serviços Especializados para Construção não especificados anteriormente).</a:t>
          </a:r>
        </a:p>
        <a:p>
          <a:pPr algn="l" rtl="0">
            <a:defRPr sz="1000"/>
          </a:pPr>
          <a:r>
            <a:rPr lang="en-US" sz="600" b="1" i="0" u="none" strike="noStrike" baseline="0">
              <a:solidFill>
                <a:srgbClr val="FF9900"/>
              </a:solidFill>
              <a:latin typeface="Arial"/>
              <a:cs typeface="Arial"/>
            </a:rPr>
            <a:t>=&gt;Construção de Obras de Infraestrutura, enquadrados nos seguintes grupos da CNAE 2.0:</a:t>
          </a:r>
        </a:p>
        <a:p>
          <a:pPr algn="l" rtl="0">
            <a:defRPr sz="1000"/>
          </a:pPr>
          <a:r>
            <a:rPr lang="en-US" sz="600" b="1" i="0" u="none" strike="noStrike" baseline="0">
              <a:solidFill>
                <a:srgbClr val="FF9900"/>
              </a:solidFill>
              <a:latin typeface="Arial"/>
              <a:cs typeface="Arial"/>
            </a:rPr>
            <a:t>- 421 – Construção de Rodovias, Ferrovias, Obras Urbanas e Obras-de-Arte Especiais;</a:t>
          </a:r>
        </a:p>
        <a:p>
          <a:pPr algn="l" rtl="0">
            <a:defRPr sz="1000"/>
          </a:pPr>
          <a:r>
            <a:rPr lang="en-US" sz="600" b="1" i="0" u="none" strike="noStrike" baseline="0">
              <a:solidFill>
                <a:srgbClr val="FF9900"/>
              </a:solidFill>
              <a:latin typeface="Arial"/>
              <a:cs typeface="Arial"/>
            </a:rPr>
            <a:t>- 422 – Obras de Infra-Estrutura para Energia Elétrica, Telecomunicações, Água, Esgoto e Transporte Por Dutos;</a:t>
          </a:r>
        </a:p>
        <a:p>
          <a:pPr algn="l" rtl="0">
            <a:defRPr sz="1000"/>
          </a:pPr>
          <a:r>
            <a:rPr lang="en-US" sz="600" b="1" i="0" u="none" strike="noStrike" baseline="0">
              <a:solidFill>
                <a:srgbClr val="FF9900"/>
              </a:solidFill>
              <a:latin typeface="Arial"/>
              <a:cs typeface="Arial"/>
            </a:rPr>
            <a:t>- 429 – Construção de Outras Obras de Infra-Estrutura;</a:t>
          </a:r>
        </a:p>
        <a:p>
          <a:pPr algn="l" rtl="0">
            <a:defRPr sz="1000"/>
          </a:pPr>
          <a:r>
            <a:rPr lang="en-US" sz="600" b="1" i="0" u="none" strike="noStrike" baseline="0">
              <a:solidFill>
                <a:srgbClr val="FF9900"/>
              </a:solidFill>
              <a:latin typeface="Arial"/>
              <a:cs typeface="Arial"/>
            </a:rPr>
            <a:t>- 431 – Demolição e Preparação do Terreno</a:t>
          </a:r>
        </a:p>
      </xdr:txBody>
    </xdr:sp>
    <xdr:clientData/>
  </xdr:twoCellAnchor>
  <xdr:twoCellAnchor>
    <xdr:from>
      <xdr:col>6</xdr:col>
      <xdr:colOff>152400</xdr:colOff>
      <xdr:row>0</xdr:row>
      <xdr:rowOff>36195</xdr:rowOff>
    </xdr:from>
    <xdr:to>
      <xdr:col>20</xdr:col>
      <xdr:colOff>66748</xdr:colOff>
      <xdr:row>12</xdr:row>
      <xdr:rowOff>68626</xdr:rowOff>
    </xdr:to>
    <xdr:sp macro="" textlink="">
      <xdr:nvSpPr>
        <xdr:cNvPr id="9" name="AutoShape 35">
          <a:extLst>
            <a:ext uri="{FF2B5EF4-FFF2-40B4-BE49-F238E27FC236}">
              <a16:creationId xmlns:a16="http://schemas.microsoft.com/office/drawing/2014/main" id="{2E3B1FAD-D64F-7F2C-F605-C54DC74F39CB}"/>
            </a:ext>
          </a:extLst>
        </xdr:cNvPr>
        <xdr:cNvSpPr>
          <a:spLocks/>
        </xdr:cNvSpPr>
      </xdr:nvSpPr>
      <xdr:spPr bwMode="auto">
        <a:xfrm>
          <a:off x="7837170" y="95250"/>
          <a:ext cx="8667738" cy="4103363"/>
        </a:xfrm>
        <a:prstGeom prst="borderCallout2">
          <a:avLst>
            <a:gd name="adj1" fmla="val 3380"/>
            <a:gd name="adj2" fmla="val -907"/>
            <a:gd name="adj3" fmla="val 3380"/>
            <a:gd name="adj4" fmla="val -3514"/>
            <a:gd name="adj5" fmla="val 56056"/>
            <a:gd name="adj6" fmla="val -5667"/>
          </a:avLst>
        </a:prstGeom>
        <a:solidFill>
          <a:srgbClr val="0000FF"/>
        </a:solidFill>
        <a:ln w="9525">
          <a:solidFill>
            <a:srgbClr val="000000"/>
          </a:solidFill>
          <a:miter lim="800000"/>
          <a:headEnd/>
          <a:tailEnd/>
        </a:ln>
      </xdr:spPr>
      <xdr:txBody>
        <a:bodyPr vertOverflow="clip" wrap="square" lIns="27432" tIns="18288" rIns="0" bIns="0" anchor="t" upright="1"/>
        <a:lstStyle/>
        <a:p>
          <a:pPr algn="l" rtl="0">
            <a:defRPr sz="1000"/>
          </a:pPr>
          <a:r>
            <a:rPr lang="en-US" sz="600" b="1" i="0" u="none" strike="noStrike" baseline="0">
              <a:solidFill>
                <a:srgbClr val="FF9900"/>
              </a:solidFill>
              <a:latin typeface="Arial"/>
              <a:cs typeface="Arial"/>
            </a:rPr>
            <a:t>=&gt; Para o tipo de obra “</a:t>
          </a:r>
          <a:r>
            <a:rPr lang="en-US" sz="600" b="1" i="0" u="sng" strike="noStrike" baseline="0">
              <a:solidFill>
                <a:srgbClr val="FF9900"/>
              </a:solidFill>
              <a:latin typeface="Arial"/>
              <a:cs typeface="Arial"/>
            </a:rPr>
            <a:t>Construção de Edifícios</a:t>
          </a:r>
          <a:r>
            <a:rPr lang="en-US" sz="600" b="1" i="0" u="none" strike="noStrike" baseline="0">
              <a:solidFill>
                <a:srgbClr val="FF9900"/>
              </a:solidFill>
              <a:latin typeface="Arial"/>
              <a:cs typeface="Arial"/>
            </a:rPr>
            <a:t>” enquadram-se: a construção e reforma de: edifícios, unidades habitacionais, escolas, hospitais, hotéis, restaurantes, armazéns e depósitos, edifícios para uso agropecuário, estações para trens e metropolitanos, estádios esportivos e quadras cobertas, instalações para embarque e desembarque de passageiros (em aeroportos, rodoviárias, portos, etc.), penitenciárias e presídios, a construção de edifícios industriais (fábricas, oficinas, galpões industriais, etc.), conforme classificação 4120-4 do CNAE 2.0. Também enquadram-se pórticos, mirantes e outros edifícios de finalidade turística.</a:t>
          </a:r>
        </a:p>
        <a:p>
          <a:pPr algn="l" rtl="0">
            <a:defRPr sz="1000"/>
          </a:pPr>
          <a:endParaRPr lang="en-US" sz="600" b="1" i="0" u="none" strike="noStrike" baseline="0">
            <a:solidFill>
              <a:srgbClr val="FF9900"/>
            </a:solidFill>
            <a:latin typeface="Arial"/>
            <a:cs typeface="Arial"/>
          </a:endParaRPr>
        </a:p>
        <a:p>
          <a:pPr algn="l" rtl="0">
            <a:defRPr sz="1000"/>
          </a:pPr>
          <a:r>
            <a:rPr lang="en-US" sz="600" b="1" i="0" u="none" strike="noStrike" baseline="0">
              <a:solidFill>
                <a:srgbClr val="FF9900"/>
              </a:solidFill>
              <a:latin typeface="Arial"/>
              <a:cs typeface="Arial"/>
            </a:rPr>
            <a:t>=&gt; Para o tipo de obra “</a:t>
          </a:r>
          <a:r>
            <a:rPr lang="en-US" sz="600" b="1" i="0" u="sng" strike="noStrike" baseline="0">
              <a:solidFill>
                <a:srgbClr val="FF9900"/>
              </a:solidFill>
              <a:latin typeface="Arial"/>
              <a:cs typeface="Arial"/>
            </a:rPr>
            <a:t>Construção de Rodovias e Ferrovias</a:t>
          </a:r>
          <a:r>
            <a:rPr lang="en-US" sz="600" b="1" i="0" u="none" strike="noStrike" baseline="0">
              <a:solidFill>
                <a:srgbClr val="FF9900"/>
              </a:solidFill>
              <a:latin typeface="Arial"/>
              <a:cs typeface="Arial"/>
            </a:rPr>
            <a:t>” enquadram-se: a construção e recuperação de: auto-estradas, rodovias e outras vias não-urbanas para passagem de veículos, vias férreas de superfície ou subterrâneas (inclusive para metropolitanos), pistas de aeroportos. Esta classe compreende também: a pavimentação de auto-estradas, rodovias e outras vias não-urbanas; construção de pontes, viadutos e túneis; a instalação de barreiras acústicas; a construção de praças de pedágio; a sinalização com pintura em rodovias e aeroportos; a instalação de placas de sinalização de tráfego e semelhantes, conforme classificação 4211-1 do CNAE 2.0. Também enquadram-se a construção, pavimentação e sinalização de vias urbanas, ruas e locais para estacionamento de veículos; a construção de praças e calçadas para pedestres; elevados, passarelas e ciclovias; metrô e VLT.</a:t>
          </a:r>
        </a:p>
        <a:p>
          <a:pPr algn="l" rtl="0">
            <a:defRPr sz="1000"/>
          </a:pPr>
          <a:endParaRPr lang="en-US" sz="600" b="1" i="0" u="none" strike="noStrike" baseline="0">
            <a:solidFill>
              <a:srgbClr val="FF9900"/>
            </a:solidFill>
            <a:latin typeface="Arial"/>
            <a:cs typeface="Arial"/>
          </a:endParaRPr>
        </a:p>
        <a:p>
          <a:pPr algn="l" rtl="0">
            <a:defRPr sz="1000"/>
          </a:pPr>
          <a:r>
            <a:rPr lang="en-US" sz="600" b="1" i="0" u="none" strike="noStrike" baseline="0">
              <a:solidFill>
                <a:srgbClr val="FF9900"/>
              </a:solidFill>
              <a:latin typeface="Arial"/>
              <a:cs typeface="Arial"/>
            </a:rPr>
            <a:t>=&gt; Para o tipo de obra “</a:t>
          </a:r>
          <a:r>
            <a:rPr lang="en-US" sz="600" b="1" i="0" u="sng" strike="noStrike" baseline="0">
              <a:solidFill>
                <a:srgbClr val="FF9900"/>
              </a:solidFill>
              <a:latin typeface="Arial"/>
              <a:cs typeface="Arial"/>
            </a:rPr>
            <a:t>Construção de Redes de Abastecimento de Água, Coleta de Esgoto e Construções Correlatas</a:t>
          </a:r>
          <a:r>
            <a:rPr lang="en-US" sz="600" b="1" i="0" u="none" strike="noStrike" baseline="0">
              <a:solidFill>
                <a:srgbClr val="FF9900"/>
              </a:solidFill>
              <a:latin typeface="Arial"/>
              <a:cs typeface="Arial"/>
            </a:rPr>
            <a:t>” enquadram-se: a construção de sistemas para o abastecimento de água tratada: reservatórios de distribuição, estações elevatórias de bombeamento, linhas principais de adução de longa e média distância e redes de distribuição de água; a construção de redes de coleta de esgoto, inclusive de interceptores, estações de tratamento de esgoto (ETE), estações de bombeamento de esgoto (EBE); a construção de galerias pluviais (obras de micro e macro drenagem). Esta classe compreende também: as obras de irrigação (canais); a manutenção de redes de abastecimento de água tratada; a manutenção de redes de coleta e de sistemas de tratamento de esgoto, conforme classificação 4222-7 do CNAE 2.0. Enquadra-se ainda a construção de estações de tratamento de água (ETA).</a:t>
          </a:r>
        </a:p>
        <a:p>
          <a:pPr algn="l" rtl="0">
            <a:defRPr sz="1000"/>
          </a:pPr>
          <a:endParaRPr lang="en-US" sz="600" b="1" i="0" u="none" strike="noStrike" baseline="0">
            <a:solidFill>
              <a:srgbClr val="FF9900"/>
            </a:solidFill>
            <a:latin typeface="Arial"/>
            <a:cs typeface="Arial"/>
          </a:endParaRPr>
        </a:p>
        <a:p>
          <a:pPr algn="l" rtl="0">
            <a:defRPr sz="1000"/>
          </a:pPr>
          <a:r>
            <a:rPr lang="en-US" sz="600" b="1" i="0" u="none" strike="noStrike" baseline="0">
              <a:solidFill>
                <a:srgbClr val="FF9900"/>
              </a:solidFill>
              <a:latin typeface="Arial"/>
              <a:cs typeface="Arial"/>
            </a:rPr>
            <a:t>=&gt; Para o tipo de obra “</a:t>
          </a:r>
          <a:r>
            <a:rPr lang="en-US" sz="600" b="1" i="0" u="sng" strike="noStrike" baseline="0">
              <a:solidFill>
                <a:srgbClr val="FF9900"/>
              </a:solidFill>
              <a:latin typeface="Arial"/>
              <a:cs typeface="Arial"/>
            </a:rPr>
            <a:t>Construção e Manutenção de Estações e Redes de Distribuição de Energia Elétrica</a:t>
          </a:r>
          <a:r>
            <a:rPr lang="en-US" sz="600" b="1" i="0" u="none" strike="noStrike" baseline="0">
              <a:solidFill>
                <a:srgbClr val="FF9900"/>
              </a:solidFill>
              <a:latin typeface="Arial"/>
              <a:cs typeface="Arial"/>
            </a:rPr>
            <a:t>” enquadram-se: a construção de usinas, estações e subestações hidrelétricas, eólicas, nucleares, termoelétricas; a construção de redes de transmissão e distribuição de energia elétrica, inclusive o serviço de eletrificação rural. Esta subclasse compreende também: a construção de redes de eletrificação para ferrovias e metropolitano, conforme classificação 4221-9/02 do CNAE 2.0. Compreende ainda: a manutenção de redes de distribuição de energia elétrica, quando executada por empresa não-produtora ou distribuidora de energia elétrica, conforme classificação 4221-9/03 do CNAE 2.0. Enquadram-se também obras de iluminação pública e a construção de barragens e represas para geração de energia elétrica.</a:t>
          </a:r>
        </a:p>
        <a:p>
          <a:pPr algn="l" rtl="0">
            <a:defRPr sz="1000"/>
          </a:pPr>
          <a:endParaRPr lang="en-US" sz="600" b="1" i="0" u="none" strike="noStrike" baseline="0">
            <a:solidFill>
              <a:srgbClr val="FF9900"/>
            </a:solidFill>
            <a:latin typeface="Arial"/>
            <a:cs typeface="Arial"/>
          </a:endParaRPr>
        </a:p>
        <a:p>
          <a:pPr algn="l" rtl="0">
            <a:defRPr sz="1000"/>
          </a:pPr>
          <a:r>
            <a:rPr lang="en-US" sz="600" b="1" i="0" u="none" strike="noStrike" baseline="0">
              <a:solidFill>
                <a:srgbClr val="FF9900"/>
              </a:solidFill>
              <a:latin typeface="Arial"/>
              <a:cs typeface="Arial"/>
            </a:rPr>
            <a:t>=&gt; Para o tipo de obra “</a:t>
          </a:r>
          <a:r>
            <a:rPr lang="en-US" sz="600" b="1" i="0" u="sng" strike="noStrike" baseline="0">
              <a:solidFill>
                <a:srgbClr val="FF9900"/>
              </a:solidFill>
              <a:latin typeface="Arial"/>
              <a:cs typeface="Arial"/>
            </a:rPr>
            <a:t>Portuárias, Marítimas e Fluviais</a:t>
          </a:r>
          <a:r>
            <a:rPr lang="en-US" sz="600" b="1" i="0" u="none" strike="noStrike" baseline="0">
              <a:solidFill>
                <a:srgbClr val="FF9900"/>
              </a:solidFill>
              <a:latin typeface="Arial"/>
              <a:cs typeface="Arial"/>
            </a:rPr>
            <a:t>” enquadram-se: as obras marítimas e fluviais, tais como, construção de instalações portuárias; construção de portos e marinas; construção de eclusas e canais de navegação (vias navegáveis); enrocamentos; obras de dragagem; aterro hidráulico; barragens, represas e diques, exceto para energia elétrica; a construção de emissários submarinos; a instalação de cabos submarinos, conforme classificação 4291-0 do CNAE 2.0. Enquadram-se também a construção de piers e outras obras com influência direta de cursos d’água.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ilso\Desktop\1648828781-5000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I sem justificativa"/>
      <sheetName val="Base dados - TCU 2622_2013"/>
    </sheetNames>
    <sheetDataSet>
      <sheetData sheetId="0"/>
      <sheetData sheetId="1">
        <row r="7">
          <cell r="A7" t="str">
            <v>Construção de Edifícios e Reformas (Quadras, unidades habitacionais, escolas, restaurantes, etc)</v>
          </cell>
          <cell r="B7">
            <v>3</v>
          </cell>
          <cell r="C7">
            <v>4</v>
          </cell>
          <cell r="D7">
            <v>5.5</v>
          </cell>
          <cell r="E7">
            <v>0.8</v>
          </cell>
          <cell r="F7">
            <v>0.8</v>
          </cell>
          <cell r="G7">
            <v>1</v>
          </cell>
          <cell r="H7">
            <v>0.97</v>
          </cell>
          <cell r="I7">
            <v>1.27</v>
          </cell>
          <cell r="J7">
            <v>1.27</v>
          </cell>
          <cell r="K7">
            <v>0.59</v>
          </cell>
          <cell r="L7">
            <v>1.23</v>
          </cell>
          <cell r="M7">
            <v>1.39</v>
          </cell>
          <cell r="N7">
            <v>6.16</v>
          </cell>
          <cell r="O7">
            <v>7.4</v>
          </cell>
          <cell r="P7">
            <v>8.9600000000000009</v>
          </cell>
          <cell r="Q7">
            <v>3</v>
          </cell>
          <cell r="R7">
            <v>0.65</v>
          </cell>
          <cell r="S7">
            <v>2</v>
          </cell>
          <cell r="T7">
            <v>3.5</v>
          </cell>
          <cell r="U7">
            <v>5</v>
          </cell>
          <cell r="V7">
            <v>2</v>
          </cell>
          <cell r="W7">
            <v>20.34</v>
          </cell>
          <cell r="X7">
            <v>22.12</v>
          </cell>
          <cell r="Y7">
            <v>25</v>
          </cell>
        </row>
        <row r="8">
          <cell r="A8" t="str">
            <v>Construção de Praças</v>
          </cell>
          <cell r="B8">
            <v>3.8</v>
          </cell>
          <cell r="C8">
            <v>4.01</v>
          </cell>
          <cell r="D8">
            <v>4.67</v>
          </cell>
          <cell r="E8">
            <v>0.32</v>
          </cell>
          <cell r="F8">
            <v>0.4</v>
          </cell>
          <cell r="G8">
            <v>0.74</v>
          </cell>
          <cell r="H8">
            <v>0.5</v>
          </cell>
          <cell r="I8">
            <v>0.56000000000000005</v>
          </cell>
          <cell r="J8">
            <v>0.97</v>
          </cell>
          <cell r="K8">
            <v>1.02</v>
          </cell>
          <cell r="L8">
            <v>1.1100000000000001</v>
          </cell>
          <cell r="M8">
            <v>1.21</v>
          </cell>
          <cell r="N8">
            <v>6.64</v>
          </cell>
          <cell r="O8">
            <v>7.3</v>
          </cell>
          <cell r="P8">
            <v>8.69</v>
          </cell>
          <cell r="Q8">
            <v>3</v>
          </cell>
          <cell r="R8">
            <v>0.65</v>
          </cell>
          <cell r="S8">
            <v>2</v>
          </cell>
          <cell r="T8">
            <v>3.5</v>
          </cell>
          <cell r="U8">
            <v>5</v>
          </cell>
          <cell r="V8">
            <v>2</v>
          </cell>
          <cell r="W8">
            <v>19.600000000000001</v>
          </cell>
          <cell r="X8">
            <v>20.97</v>
          </cell>
          <cell r="Y8">
            <v>24.23</v>
          </cell>
        </row>
        <row r="9">
          <cell r="A9" t="str">
            <v>Construção de Rodovias (Pavimentação Urbana)</v>
          </cell>
          <cell r="B9">
            <v>3.8</v>
          </cell>
          <cell r="C9">
            <v>4.01</v>
          </cell>
          <cell r="D9">
            <v>4.67</v>
          </cell>
          <cell r="E9">
            <v>0.32</v>
          </cell>
          <cell r="F9">
            <v>0.4</v>
          </cell>
          <cell r="G9">
            <v>0.74</v>
          </cell>
          <cell r="H9">
            <v>0.5</v>
          </cell>
          <cell r="I9">
            <v>0.56000000000000005</v>
          </cell>
          <cell r="J9">
            <v>0.97</v>
          </cell>
          <cell r="K9">
            <v>1.02</v>
          </cell>
          <cell r="L9">
            <v>1.1100000000000001</v>
          </cell>
          <cell r="M9">
            <v>1.21</v>
          </cell>
          <cell r="N9">
            <v>6.64</v>
          </cell>
          <cell r="O9">
            <v>7.3</v>
          </cell>
          <cell r="P9">
            <v>8.69</v>
          </cell>
          <cell r="Q9">
            <v>3</v>
          </cell>
          <cell r="R9">
            <v>0.65</v>
          </cell>
          <cell r="S9">
            <v>2</v>
          </cell>
          <cell r="T9">
            <v>3.5</v>
          </cell>
          <cell r="U9">
            <v>5</v>
          </cell>
          <cell r="V9">
            <v>2</v>
          </cell>
          <cell r="W9">
            <v>19.600000000000001</v>
          </cell>
          <cell r="X9">
            <v>20.97</v>
          </cell>
          <cell r="Y9">
            <v>24.23</v>
          </cell>
        </row>
        <row r="10">
          <cell r="A10" t="str">
            <v>Construção de Ferrovias</v>
          </cell>
          <cell r="B10">
            <v>3.8</v>
          </cell>
          <cell r="C10">
            <v>4.01</v>
          </cell>
          <cell r="D10">
            <v>4.67</v>
          </cell>
          <cell r="E10">
            <v>0.32</v>
          </cell>
          <cell r="F10">
            <v>0.4</v>
          </cell>
          <cell r="G10">
            <v>0.74</v>
          </cell>
          <cell r="H10">
            <v>0.5</v>
          </cell>
          <cell r="I10">
            <v>0.56000000000000005</v>
          </cell>
          <cell r="J10">
            <v>0.97</v>
          </cell>
          <cell r="K10">
            <v>1.02</v>
          </cell>
          <cell r="L10">
            <v>1.1100000000000001</v>
          </cell>
          <cell r="M10">
            <v>1.21</v>
          </cell>
          <cell r="N10">
            <v>6.64</v>
          </cell>
          <cell r="O10">
            <v>7.3</v>
          </cell>
          <cell r="P10">
            <v>8.69</v>
          </cell>
          <cell r="Q10">
            <v>3</v>
          </cell>
          <cell r="R10">
            <v>0.65</v>
          </cell>
          <cell r="S10">
            <v>2</v>
          </cell>
          <cell r="T10">
            <v>3.5</v>
          </cell>
          <cell r="U10">
            <v>5</v>
          </cell>
          <cell r="V10">
            <v>2</v>
          </cell>
          <cell r="W10">
            <v>19.600000000000001</v>
          </cell>
          <cell r="X10">
            <v>20.97</v>
          </cell>
          <cell r="Y10">
            <v>24.23</v>
          </cell>
        </row>
        <row r="11">
          <cell r="A11" t="str">
            <v>Construção de Redes de Abastecimento de Água, Coleta de Esgoto e Construções Correlatas</v>
          </cell>
          <cell r="B11">
            <v>3.43</v>
          </cell>
          <cell r="C11">
            <v>4.93</v>
          </cell>
          <cell r="D11">
            <v>6.71</v>
          </cell>
          <cell r="E11">
            <v>0.28000000000000003</v>
          </cell>
          <cell r="F11">
            <v>0.49</v>
          </cell>
          <cell r="G11">
            <v>0.75</v>
          </cell>
          <cell r="H11">
            <v>1</v>
          </cell>
          <cell r="I11">
            <v>1.39</v>
          </cell>
          <cell r="J11">
            <v>1.74</v>
          </cell>
          <cell r="K11">
            <v>0.94</v>
          </cell>
          <cell r="L11">
            <v>0.99</v>
          </cell>
          <cell r="M11">
            <v>1.17</v>
          </cell>
          <cell r="N11">
            <v>6.74</v>
          </cell>
          <cell r="O11">
            <v>8.0399999999999991</v>
          </cell>
          <cell r="P11">
            <v>9.4</v>
          </cell>
          <cell r="Q11">
            <v>3</v>
          </cell>
          <cell r="R11">
            <v>0.65</v>
          </cell>
          <cell r="S11">
            <v>2</v>
          </cell>
          <cell r="T11">
            <v>3.5</v>
          </cell>
          <cell r="U11">
            <v>5</v>
          </cell>
          <cell r="V11">
            <v>2</v>
          </cell>
          <cell r="W11">
            <v>20.76</v>
          </cell>
          <cell r="X11">
            <v>24.18</v>
          </cell>
          <cell r="Y11">
            <v>26.44</v>
          </cell>
        </row>
        <row r="12">
          <cell r="A12" t="str">
            <v>Construção e Manutenção de Estações e Redes de Distribuição de Energia Elétrica</v>
          </cell>
          <cell r="B12">
            <v>5.29</v>
          </cell>
          <cell r="C12">
            <v>5.92</v>
          </cell>
          <cell r="D12">
            <v>7.93</v>
          </cell>
          <cell r="E12">
            <v>0.25</v>
          </cell>
          <cell r="F12">
            <v>0.51</v>
          </cell>
          <cell r="G12">
            <v>0.56000000000000005</v>
          </cell>
          <cell r="H12">
            <v>1</v>
          </cell>
          <cell r="I12">
            <v>1.48</v>
          </cell>
          <cell r="J12">
            <v>1.97</v>
          </cell>
          <cell r="K12">
            <v>1.01</v>
          </cell>
          <cell r="L12">
            <v>1.07</v>
          </cell>
          <cell r="M12">
            <v>1.1100000000000001</v>
          </cell>
          <cell r="N12">
            <v>8</v>
          </cell>
          <cell r="O12">
            <v>8.31</v>
          </cell>
          <cell r="P12">
            <v>9.51</v>
          </cell>
          <cell r="Q12">
            <v>3</v>
          </cell>
          <cell r="R12">
            <v>0.65</v>
          </cell>
          <cell r="S12">
            <v>2</v>
          </cell>
          <cell r="T12">
            <v>3.5</v>
          </cell>
          <cell r="U12">
            <v>5</v>
          </cell>
          <cell r="V12">
            <v>2</v>
          </cell>
          <cell r="W12">
            <v>24</v>
          </cell>
          <cell r="X12">
            <v>25.84</v>
          </cell>
          <cell r="Y12">
            <v>27.86</v>
          </cell>
        </row>
        <row r="13">
          <cell r="A13" t="str">
            <v>Portuárias, Marítimas e Fluviais</v>
          </cell>
          <cell r="B13">
            <v>4</v>
          </cell>
          <cell r="C13">
            <v>5.52</v>
          </cell>
          <cell r="D13">
            <v>7.85</v>
          </cell>
          <cell r="E13">
            <v>0.81</v>
          </cell>
          <cell r="F13">
            <v>1.22</v>
          </cell>
          <cell r="G13">
            <v>1.99</v>
          </cell>
          <cell r="H13">
            <v>1.46</v>
          </cell>
          <cell r="I13">
            <v>2.3199999999999998</v>
          </cell>
          <cell r="J13">
            <v>3.16</v>
          </cell>
          <cell r="K13">
            <v>0.94</v>
          </cell>
          <cell r="L13">
            <v>1.02</v>
          </cell>
          <cell r="M13">
            <v>1.33</v>
          </cell>
          <cell r="N13">
            <v>7.14</v>
          </cell>
          <cell r="O13">
            <v>8.4</v>
          </cell>
          <cell r="P13">
            <v>10.43</v>
          </cell>
          <cell r="Q13">
            <v>3</v>
          </cell>
          <cell r="R13">
            <v>0.65</v>
          </cell>
          <cell r="S13">
            <v>2</v>
          </cell>
          <cell r="T13">
            <v>3.5</v>
          </cell>
          <cell r="U13">
            <v>5</v>
          </cell>
          <cell r="V13">
            <v>2</v>
          </cell>
          <cell r="W13">
            <v>22.8</v>
          </cell>
          <cell r="X13">
            <v>27.48</v>
          </cell>
          <cell r="Y13">
            <v>30.95</v>
          </cell>
        </row>
        <row r="14">
          <cell r="A14" t="str">
            <v>Fornecimento de Materiais e Equipamentos</v>
          </cell>
          <cell r="B14">
            <v>1.5</v>
          </cell>
          <cell r="C14">
            <v>3.45</v>
          </cell>
          <cell r="D14">
            <v>4.49</v>
          </cell>
          <cell r="E14">
            <v>0.3</v>
          </cell>
          <cell r="F14">
            <v>0.48</v>
          </cell>
          <cell r="G14">
            <v>0.82</v>
          </cell>
          <cell r="H14">
            <v>0.56000000000000005</v>
          </cell>
          <cell r="I14">
            <v>0.85</v>
          </cell>
          <cell r="J14">
            <v>0.89</v>
          </cell>
          <cell r="K14">
            <v>0.85</v>
          </cell>
          <cell r="L14">
            <v>0.85</v>
          </cell>
          <cell r="M14">
            <v>1.1100000000000001</v>
          </cell>
          <cell r="N14">
            <v>3.5</v>
          </cell>
          <cell r="O14">
            <v>5.1100000000000003</v>
          </cell>
          <cell r="P14">
            <v>6.22</v>
          </cell>
          <cell r="Q14">
            <v>3</v>
          </cell>
          <cell r="R14">
            <v>0.65</v>
          </cell>
          <cell r="S14">
            <v>2</v>
          </cell>
          <cell r="T14">
            <v>3.5</v>
          </cell>
          <cell r="U14">
            <v>5</v>
          </cell>
          <cell r="V14">
            <v>2</v>
          </cell>
          <cell r="W14">
            <v>11.1</v>
          </cell>
          <cell r="X14">
            <v>14.02</v>
          </cell>
          <cell r="Y14">
            <v>16.8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901D-F9BC-4923-B94B-4B6C78357A9E}">
  <dimension ref="A1:R35"/>
  <sheetViews>
    <sheetView showZeros="0" view="pageBreakPreview" topLeftCell="A15" zoomScaleNormal="100" zoomScaleSheetLayoutView="100" workbookViewId="0">
      <selection activeCell="C33" sqref="C33"/>
    </sheetView>
  </sheetViews>
  <sheetFormatPr defaultColWidth="11.42578125" defaultRowHeight="12.75" x14ac:dyDescent="0.2"/>
  <cols>
    <col min="1" max="1" width="6.5703125" style="44" customWidth="1"/>
    <col min="2" max="2" width="13.140625" style="44" customWidth="1"/>
    <col min="3" max="3" width="11.42578125" style="44" customWidth="1"/>
    <col min="4" max="4" width="75.28515625" style="44" customWidth="1"/>
    <col min="5" max="5" width="9.7109375" style="56" customWidth="1"/>
    <col min="6" max="9" width="8.140625" style="56" customWidth="1"/>
    <col min="10" max="10" width="38.7109375" style="58" customWidth="1"/>
    <col min="11" max="11" width="7.140625" style="58" customWidth="1"/>
    <col min="12" max="12" width="10" style="60" customWidth="1"/>
    <col min="13" max="13" width="8.5703125" style="44" customWidth="1"/>
    <col min="14" max="14" width="8.42578125" style="44" customWidth="1"/>
    <col min="15" max="16384" width="11.42578125" style="44"/>
  </cols>
  <sheetData>
    <row r="1" spans="1:15" ht="54.6" customHeight="1" x14ac:dyDescent="0.2">
      <c r="C1" s="282" t="s">
        <v>74</v>
      </c>
      <c r="D1" s="282"/>
      <c r="E1" s="282"/>
      <c r="F1" s="282"/>
      <c r="G1" s="282"/>
      <c r="H1" s="282"/>
      <c r="I1" s="282"/>
      <c r="J1" s="68"/>
      <c r="K1" s="68"/>
      <c r="L1" s="68"/>
      <c r="M1" s="45"/>
    </row>
    <row r="2" spans="1:15" s="48" customFormat="1" ht="15" customHeight="1" x14ac:dyDescent="0.2">
      <c r="A2" s="270" t="s">
        <v>34</v>
      </c>
      <c r="B2" s="271"/>
      <c r="C2" s="263" t="s">
        <v>35</v>
      </c>
      <c r="D2" s="264"/>
      <c r="E2" s="264"/>
      <c r="F2" s="264"/>
      <c r="G2" s="264"/>
      <c r="H2" s="264"/>
      <c r="I2" s="264"/>
      <c r="J2" s="264"/>
      <c r="K2" s="265"/>
      <c r="L2" s="286" t="str">
        <f>PLANILHA!F4</f>
        <v>DATA: 30/07/26</v>
      </c>
      <c r="M2" s="78"/>
    </row>
    <row r="3" spans="1:15" s="48" customFormat="1" ht="15" customHeight="1" x14ac:dyDescent="0.2">
      <c r="A3" s="272"/>
      <c r="B3" s="273"/>
      <c r="C3" s="289" t="str">
        <f>PLANILHA!A4</f>
        <v>OBRA: Execução de calçamento tipo bloquete</v>
      </c>
      <c r="D3" s="290"/>
      <c r="E3" s="290"/>
      <c r="F3" s="290"/>
      <c r="G3" s="290"/>
      <c r="H3" s="290"/>
      <c r="I3" s="290"/>
      <c r="J3" s="290"/>
      <c r="K3" s="291"/>
      <c r="L3" s="287"/>
      <c r="M3" s="78"/>
    </row>
    <row r="4" spans="1:15" s="48" customFormat="1" ht="15" customHeight="1" x14ac:dyDescent="0.2">
      <c r="A4" s="274"/>
      <c r="B4" s="275"/>
      <c r="C4" s="289" t="str">
        <f>PLANILHA!A5</f>
        <v>LOCAL: Trecho de estrada vicinal na Comunidade de Córrego do Matodentro TRECHO 2, Zona Rural do Município de Santa Cruz do Escalvado (MG)</v>
      </c>
      <c r="D4" s="290"/>
      <c r="E4" s="290"/>
      <c r="F4" s="290"/>
      <c r="G4" s="290"/>
      <c r="H4" s="290"/>
      <c r="I4" s="290"/>
      <c r="J4" s="290"/>
      <c r="K4" s="291"/>
      <c r="L4" s="288"/>
      <c r="M4" s="78"/>
    </row>
    <row r="5" spans="1:15" ht="11.65" customHeight="1" x14ac:dyDescent="0.2">
      <c r="A5" s="276" t="s">
        <v>0</v>
      </c>
      <c r="B5" s="266" t="s">
        <v>36</v>
      </c>
      <c r="C5" s="267"/>
      <c r="D5" s="278"/>
      <c r="E5" s="266" t="s">
        <v>47</v>
      </c>
      <c r="F5" s="267"/>
      <c r="G5" s="267"/>
      <c r="H5" s="267"/>
      <c r="I5" s="267"/>
      <c r="J5" s="281"/>
      <c r="K5" s="279" t="s">
        <v>30</v>
      </c>
      <c r="L5" s="279" t="s">
        <v>25</v>
      </c>
      <c r="M5" s="248">
        <f>PLANILHA!I7</f>
        <v>351428.47440000001</v>
      </c>
      <c r="N5" s="249"/>
    </row>
    <row r="6" spans="1:15" ht="11.65" customHeight="1" x14ac:dyDescent="0.2">
      <c r="A6" s="277"/>
      <c r="B6" s="268" t="s">
        <v>37</v>
      </c>
      <c r="C6" s="269"/>
      <c r="D6" s="283"/>
      <c r="E6" s="268"/>
      <c r="F6" s="269"/>
      <c r="G6" s="269"/>
      <c r="H6" s="269"/>
      <c r="I6" s="269"/>
      <c r="J6" s="281"/>
      <c r="K6" s="280"/>
      <c r="L6" s="280"/>
      <c r="M6" s="250"/>
      <c r="N6" s="251"/>
    </row>
    <row r="7" spans="1:15" ht="13.9" customHeight="1" x14ac:dyDescent="0.2">
      <c r="A7" s="69" t="str">
        <f>PLANILHA!A9</f>
        <v xml:space="preserve"> 1 </v>
      </c>
      <c r="B7" s="252" t="str">
        <f>PLANILHA!C9</f>
        <v>ADMINISTRAÇÃO LOCAL</v>
      </c>
      <c r="C7" s="253"/>
      <c r="D7" s="254"/>
      <c r="E7" s="261"/>
      <c r="F7" s="262"/>
      <c r="G7" s="262"/>
      <c r="H7" s="262"/>
      <c r="I7" s="262"/>
      <c r="J7" s="175"/>
      <c r="K7" s="76"/>
      <c r="L7" s="70"/>
      <c r="M7" s="46"/>
    </row>
    <row r="8" spans="1:15" ht="13.9" customHeight="1" x14ac:dyDescent="0.2">
      <c r="A8" s="69" t="str">
        <f>PLANILHA!A10</f>
        <v xml:space="preserve"> 1.1 </v>
      </c>
      <c r="B8" s="252" t="str">
        <f>PLANILHA!C10</f>
        <v>ENCARREGADO GERAL DE OBRAS COM ENCARGOS COMPLEMENTARES</v>
      </c>
      <c r="C8" s="253"/>
      <c r="D8" s="254"/>
      <c r="E8" s="284" t="s">
        <v>96</v>
      </c>
      <c r="F8" s="285"/>
      <c r="G8" s="285"/>
      <c r="H8" s="285"/>
      <c r="I8" s="285"/>
      <c r="J8" s="174" t="s">
        <v>217</v>
      </c>
      <c r="K8" s="76" t="str">
        <f>PLANILHA!D10</f>
        <v>mês</v>
      </c>
      <c r="L8" s="98">
        <f>M8*4*5*N8/220</f>
        <v>1.2727272727272727</v>
      </c>
      <c r="M8" s="292">
        <v>2</v>
      </c>
      <c r="N8" s="184">
        <v>7</v>
      </c>
      <c r="O8" s="178">
        <f>PLANILHA!J12</f>
        <v>4.6616825878922005E-2</v>
      </c>
    </row>
    <row r="9" spans="1:15" ht="13.9" customHeight="1" x14ac:dyDescent="0.2">
      <c r="A9" s="69" t="str">
        <f>PLANILHA!A11</f>
        <v xml:space="preserve"> 1.2</v>
      </c>
      <c r="B9" s="252" t="str">
        <f>PLANILHA!C11</f>
        <v>TÉCNICO EM SEGURANÇA DO TRABALHO COM ENCARGOS COMPLEMENTARES</v>
      </c>
      <c r="C9" s="253"/>
      <c r="D9" s="254"/>
      <c r="E9" s="284" t="s">
        <v>96</v>
      </c>
      <c r="F9" s="285"/>
      <c r="G9" s="285"/>
      <c r="H9" s="285"/>
      <c r="I9" s="285"/>
      <c r="J9" s="174" t="s">
        <v>218</v>
      </c>
      <c r="K9" s="76" t="str">
        <f>PLANILHA!D11</f>
        <v>mês</v>
      </c>
      <c r="L9" s="98">
        <f>M8*4*5*N9/220</f>
        <v>1.8181818181818181E-2</v>
      </c>
      <c r="M9" s="293"/>
      <c r="N9" s="184">
        <v>0.1</v>
      </c>
    </row>
    <row r="10" spans="1:15" ht="13.9" customHeight="1" x14ac:dyDescent="0.2">
      <c r="A10" s="69" t="str">
        <f>PLANILHA!A12</f>
        <v xml:space="preserve"> 1.3</v>
      </c>
      <c r="B10" s="252" t="str">
        <f>PLANILHA!C12</f>
        <v>ENGENHEIRO CIVIL DE OBRA PLENO COM ENCARGOS COMPLEMENTARES</v>
      </c>
      <c r="C10" s="253"/>
      <c r="D10" s="254"/>
      <c r="E10" s="284" t="s">
        <v>96</v>
      </c>
      <c r="F10" s="285"/>
      <c r="G10" s="285"/>
      <c r="H10" s="285"/>
      <c r="I10" s="285"/>
      <c r="J10" s="174" t="s">
        <v>218</v>
      </c>
      <c r="K10" s="76" t="str">
        <f>PLANILHA!D12</f>
        <v>mês</v>
      </c>
      <c r="L10" s="98">
        <f>M8*4*5*N10/220</f>
        <v>1.8181818181818181E-2</v>
      </c>
      <c r="M10" s="294"/>
      <c r="N10" s="184">
        <v>0.1</v>
      </c>
    </row>
    <row r="11" spans="1:15" ht="13.9" customHeight="1" x14ac:dyDescent="0.2">
      <c r="A11" s="69">
        <f>PLANILHA!A13</f>
        <v>2</v>
      </c>
      <c r="B11" s="252" t="str">
        <f>PLANILHA!C13</f>
        <v>SERVIÇOS PRELIMINARES</v>
      </c>
      <c r="C11" s="253"/>
      <c r="D11" s="254"/>
      <c r="E11" s="261"/>
      <c r="F11" s="262"/>
      <c r="G11" s="262"/>
      <c r="H11" s="262"/>
      <c r="I11" s="262"/>
      <c r="J11" s="76"/>
      <c r="K11" s="76">
        <f>PLANILHA!D13</f>
        <v>0</v>
      </c>
      <c r="L11" s="70"/>
      <c r="M11" s="46"/>
    </row>
    <row r="12" spans="1:15" ht="34.9" customHeight="1" x14ac:dyDescent="0.2">
      <c r="A12" s="69" t="str">
        <f>PLANILHA!A14</f>
        <v>2.1</v>
      </c>
      <c r="B12" s="252" t="str">
        <f>PLANILHA!C14</f>
        <v>FORNECIMENTO E COLOCAÇÃO DE PLACA DE OBRA EM CHAPA GALVANIZADA #26, ESP. 0,45 MM, PLOTADA COM ADESIVO VINÍLICO, AFIXADA COM REBITES 4,8X40 MM, EM ESTRUTURA METÁLICA DE METALON 20X20 MM, ESP. 1,25 MM, INCLUSIVE SUPORTE EM EUCALIPTO AUTOCLAVADO PINTADO COM TINTA PVA DUAS (2) DEMÃOS</v>
      </c>
      <c r="C12" s="253"/>
      <c r="D12" s="254"/>
      <c r="E12" s="261"/>
      <c r="F12" s="262"/>
      <c r="G12" s="262"/>
      <c r="H12" s="262"/>
      <c r="I12" s="262"/>
      <c r="J12" s="174" t="s">
        <v>185</v>
      </c>
      <c r="K12" s="76" t="str">
        <f>PLANILHA!D14</f>
        <v>m2</v>
      </c>
      <c r="L12" s="70">
        <f>1*2</f>
        <v>2</v>
      </c>
      <c r="M12" s="46"/>
    </row>
    <row r="13" spans="1:15" ht="13.9" customHeight="1" x14ac:dyDescent="0.2">
      <c r="A13" s="69" t="str">
        <f>PLANILHA!A15</f>
        <v>2.2</v>
      </c>
      <c r="B13" s="252" t="str">
        <f>PLANILHA!C15</f>
        <v>MOBILIZAÇÃO E DESMOBILIZAÇÃO OBRA DISTANTE DE CENTRO URBANO COM VALOR ATÉ 1.000.000,00</v>
      </c>
      <c r="C13" s="253"/>
      <c r="D13" s="254"/>
      <c r="E13" s="261"/>
      <c r="F13" s="262"/>
      <c r="G13" s="262"/>
      <c r="H13" s="262"/>
      <c r="I13" s="262"/>
      <c r="J13" s="174" t="s">
        <v>42</v>
      </c>
      <c r="K13" s="76" t="str">
        <f>PLANILHA!D15</f>
        <v>%</v>
      </c>
      <c r="L13" s="70">
        <f>PLANILHA!E15</f>
        <v>2</v>
      </c>
      <c r="M13" s="46"/>
    </row>
    <row r="14" spans="1:15" ht="13.9" customHeight="1" x14ac:dyDescent="0.2">
      <c r="A14" s="69">
        <f>PLANILHA!A16</f>
        <v>3</v>
      </c>
      <c r="B14" s="252" t="str">
        <f>PLANILHA!C16</f>
        <v>CALÇAMENTO TIPO BLOQUETE</v>
      </c>
      <c r="C14" s="253"/>
      <c r="D14" s="254"/>
      <c r="E14" s="257"/>
      <c r="F14" s="258"/>
      <c r="G14" s="258"/>
      <c r="H14" s="258"/>
      <c r="I14" s="258"/>
      <c r="J14" s="176"/>
      <c r="K14" s="76">
        <f>PLANILHA!D16</f>
        <v>0</v>
      </c>
      <c r="L14" s="70"/>
      <c r="M14" s="46"/>
    </row>
    <row r="15" spans="1:15" ht="24" customHeight="1" x14ac:dyDescent="0.2">
      <c r="A15" s="69" t="str">
        <f>PLANILHA!A17</f>
        <v>3.1</v>
      </c>
      <c r="B15" s="252" t="str">
        <f>PLANILHA!C17</f>
        <v>ASSENTAMENTO GUIA DE MEIO-FIO, CONCRETO C/ FCK 20MPA, PRÉ-MOLDADA, MFC-01 PADRÃO DER-MG, DIMENSÕES (12X16,7X35)CM, INCL ESCAVAÇÃO, APILOAMENTO, REJUNTAMENTO E TRANSPORTE COM RETIRADA DO MATERIAL ESCAVADO</v>
      </c>
      <c r="C15" s="253"/>
      <c r="D15" s="254"/>
      <c r="E15" s="255" t="s">
        <v>234</v>
      </c>
      <c r="F15" s="256"/>
      <c r="G15" s="256"/>
      <c r="H15" s="256"/>
      <c r="I15" s="256"/>
      <c r="J15" s="174" t="s">
        <v>49</v>
      </c>
      <c r="K15" s="76" t="str">
        <f>PLANILHA!D17</f>
        <v>m</v>
      </c>
      <c r="L15" s="70">
        <f>328.3+93.9+15.7+253.3+(4.5*3)</f>
        <v>704.7</v>
      </c>
      <c r="M15" s="183"/>
    </row>
    <row r="16" spans="1:15" ht="13.9" customHeight="1" x14ac:dyDescent="0.2">
      <c r="A16" s="69" t="str">
        <f>PLANILHA!A18</f>
        <v>3.2</v>
      </c>
      <c r="B16" s="252" t="str">
        <f>PLANILHA!C18</f>
        <v>PINTURA DE MEIO-FIO COM TINTA BRANCA A BASE DE CAL (CAIAÇÃO 2 demãos).</v>
      </c>
      <c r="C16" s="253"/>
      <c r="D16" s="254"/>
      <c r="E16" s="255" t="str">
        <f>E15</f>
        <v>comprimento = 328,30+93,90+15,70+253,30+(4,50x3)</v>
      </c>
      <c r="F16" s="256"/>
      <c r="G16" s="256"/>
      <c r="H16" s="256"/>
      <c r="I16" s="256"/>
      <c r="J16" s="174" t="s">
        <v>49</v>
      </c>
      <c r="K16" s="76" t="str">
        <f>PLANILHA!D18</f>
        <v>m</v>
      </c>
      <c r="L16" s="70">
        <f>L15</f>
        <v>704.7</v>
      </c>
      <c r="M16" s="182"/>
    </row>
    <row r="17" spans="1:18" ht="34.15" customHeight="1" x14ac:dyDescent="0.2">
      <c r="A17" s="69" t="str">
        <f>PLANILHA!A19</f>
        <v>3.3</v>
      </c>
      <c r="B17" s="252" t="str">
        <f>PLANILHA!C19</f>
        <v xml:space="preserve">EXEC PAVIMENTO PISO INTERTRAVADO, TIPO SEXTAVADO, ESP. 8CM, FCK 35MPA, DIMENSÕES 30X30CM INCL COLCHÃO DE AREIA, ESP. 6CM, P/ ASSENTAMENTO, COMPACTAÇÃO MECANIZADA, CARGA DESCARGA MECÂNICA CAMINHÃO, EXCL TRANSPORTE PISO INTERTRAVADO </v>
      </c>
      <c r="C17" s="253"/>
      <c r="D17" s="254"/>
      <c r="E17" s="257" t="s">
        <v>235</v>
      </c>
      <c r="F17" s="258"/>
      <c r="G17" s="258"/>
      <c r="H17" s="258"/>
      <c r="I17" s="258"/>
      <c r="J17" s="173" t="s">
        <v>48</v>
      </c>
      <c r="K17" s="76" t="str">
        <f>PLANILHA!D19</f>
        <v>m2</v>
      </c>
      <c r="L17" s="70">
        <f>M17*N17</f>
        <v>1548</v>
      </c>
      <c r="M17" s="184">
        <f>329+15</f>
        <v>344</v>
      </c>
      <c r="N17" s="184">
        <v>4.5</v>
      </c>
    </row>
    <row r="18" spans="1:18" ht="24" customHeight="1" x14ac:dyDescent="0.2">
      <c r="A18" s="69" t="str">
        <f>PLANILHA!A20</f>
        <v>3.4</v>
      </c>
      <c r="B18" s="252" t="str">
        <f>PLANILHA!C20</f>
        <v>ESCAVAÇÃO MANUAL DE TERRA (DESATERRO MANUAL), INCLUSIVE DESCARGA LATERAL, EXCLUSIVE RETIRADA E TRANSPORTE DO MATERIAL ESCAVADO, PARA TRAVAMENTO DO MEIO-FIO</v>
      </c>
      <c r="C18" s="253"/>
      <c r="D18" s="254"/>
      <c r="E18" s="257" t="s">
        <v>236</v>
      </c>
      <c r="F18" s="258"/>
      <c r="G18" s="258"/>
      <c r="H18" s="258"/>
      <c r="I18" s="258"/>
      <c r="J18" s="173" t="s">
        <v>81</v>
      </c>
      <c r="K18" s="76" t="str">
        <f>PLANILHA!D20</f>
        <v>m3</v>
      </c>
      <c r="L18" s="70">
        <f>M17*2*0.5*0.25*2</f>
        <v>172</v>
      </c>
      <c r="M18" s="182"/>
    </row>
    <row r="19" spans="1:18" ht="13.9" customHeight="1" x14ac:dyDescent="0.2">
      <c r="A19" s="69" t="str">
        <f>PLANILHA!A21</f>
        <v>3.5</v>
      </c>
      <c r="B19" s="252" t="str">
        <f>PLANILHA!C21</f>
        <v>COMPACTAÇÃO MECANIZADA ATERRO COM PLACA VIBRATÓRIA, INCLUSIVE ESPALHAMENTO MANUAL, PARA TRAVAMENTO DO MEIO-FIO</v>
      </c>
      <c r="C19" s="253"/>
      <c r="D19" s="254"/>
      <c r="E19" s="257" t="s">
        <v>237</v>
      </c>
      <c r="F19" s="258"/>
      <c r="G19" s="258"/>
      <c r="H19" s="258"/>
      <c r="I19" s="258"/>
      <c r="J19" s="173" t="s">
        <v>80</v>
      </c>
      <c r="K19" s="76" t="str">
        <f>PLANILHA!D21</f>
        <v>m3</v>
      </c>
      <c r="L19" s="70">
        <f>L18</f>
        <v>172</v>
      </c>
      <c r="M19" s="182"/>
    </row>
    <row r="20" spans="1:18" ht="13.9" customHeight="1" x14ac:dyDescent="0.2">
      <c r="A20" s="69" t="str">
        <f>PLANILHA!A22</f>
        <v>3.6</v>
      </c>
      <c r="B20" s="252" t="str">
        <f>PLANILHA!C22</f>
        <v>DRENAGEM PLUVIAL</v>
      </c>
      <c r="C20" s="253"/>
      <c r="D20" s="254"/>
      <c r="E20" s="257"/>
      <c r="F20" s="258"/>
      <c r="G20" s="258"/>
      <c r="H20" s="258"/>
      <c r="I20" s="258"/>
      <c r="J20" s="176"/>
      <c r="K20" s="76">
        <f>PLANILHA!D22</f>
        <v>0</v>
      </c>
      <c r="L20" s="70"/>
      <c r="M20" s="182"/>
    </row>
    <row r="21" spans="1:18" ht="24" customHeight="1" x14ac:dyDescent="0.2">
      <c r="A21" s="69" t="str">
        <f>PLANILHA!A23</f>
        <v>3.6.1</v>
      </c>
      <c r="B21" s="252" t="str">
        <f>PLANILHA!C23</f>
        <v>RETROESCAVADEIRA SOBRE RODAS C/ CARREGADEIRA, TRAÇÃO 4X4, POTÊNCIA LÍQ. 88 HP, CAÇAMBA CARREG. CAP. MÍN. 1 M3, CAÇAMBA RETRO CAP. 0,26 M3, PESO OPERACIONAL MÍN. 6.674 KG, PROFUND ESCAVAÇÃO MÁX. 4,37 M - CHI DIURNO</v>
      </c>
      <c r="C21" s="253"/>
      <c r="D21" s="254"/>
      <c r="E21" s="255" t="s">
        <v>165</v>
      </c>
      <c r="F21" s="256"/>
      <c r="G21" s="256"/>
      <c r="H21" s="256"/>
      <c r="I21" s="256"/>
      <c r="J21" s="174" t="s">
        <v>167</v>
      </c>
      <c r="K21" s="76" t="str">
        <f>PLANILHA!D23</f>
        <v>CHI</v>
      </c>
      <c r="L21" s="70">
        <f>3*M24</f>
        <v>6</v>
      </c>
      <c r="M21" s="182"/>
    </row>
    <row r="22" spans="1:18" ht="24" customHeight="1" x14ac:dyDescent="0.2">
      <c r="A22" s="69" t="str">
        <f>PLANILHA!A24</f>
        <v>3.6.2</v>
      </c>
      <c r="B22" s="252" t="str">
        <f>PLANILHA!C24</f>
        <v>RETROESCAVADEIRA SOBRE RODAS C/ CARREGADEIRA, TRAÇÃO 4X4, POTÊNCIA LÍQ. 88 HP, CAÇAMBA CARREG. CAP. MÍN. 1 M3, CAÇAMBA RETRO CAP. 0,26 M3, PESO OPERACIONAL MÍN. 6.674 KG, PROFUND ESCAVAÇÃO MÁX. 4,37 M - CHP DIURNO</v>
      </c>
      <c r="C22" s="253"/>
      <c r="D22" s="254"/>
      <c r="E22" s="255" t="s">
        <v>166</v>
      </c>
      <c r="F22" s="256"/>
      <c r="G22" s="256"/>
      <c r="H22" s="256"/>
      <c r="I22" s="256"/>
      <c r="J22" s="173" t="s">
        <v>167</v>
      </c>
      <c r="K22" s="76" t="str">
        <f>PLANILHA!D24</f>
        <v>CHP</v>
      </c>
      <c r="L22" s="70">
        <f>4*M24</f>
        <v>8</v>
      </c>
      <c r="M22" s="182"/>
    </row>
    <row r="23" spans="1:18" ht="13.9" customHeight="1" x14ac:dyDescent="0.2">
      <c r="A23" s="69" t="str">
        <f>PLANILHA!A25</f>
        <v>3.6.3</v>
      </c>
      <c r="B23" s="252" t="str">
        <f>PLANILHA!C25</f>
        <v>APILOAMENTO DO FUNDO DE VALAS COM PLACA VIBRATÓRIA</v>
      </c>
      <c r="C23" s="253"/>
      <c r="D23" s="254"/>
      <c r="E23" s="255" t="s">
        <v>168</v>
      </c>
      <c r="F23" s="256"/>
      <c r="G23" s="256"/>
      <c r="H23" s="256"/>
      <c r="I23" s="256"/>
      <c r="J23" s="174" t="s">
        <v>169</v>
      </c>
      <c r="K23" s="76" t="str">
        <f>PLANILHA!D25</f>
        <v>m2</v>
      </c>
      <c r="L23" s="171">
        <f>ROUND(L24*1.3,2)</f>
        <v>20.8</v>
      </c>
      <c r="M23" s="182"/>
    </row>
    <row r="24" spans="1:18" ht="24" customHeight="1" x14ac:dyDescent="0.2">
      <c r="A24" s="69" t="str">
        <f>PLANILHA!A26</f>
        <v>3.6.4</v>
      </c>
      <c r="B24" s="252" t="str">
        <f>PLANILHA!C26</f>
        <v>TUBO DE CONCRETO ARMADO, CLASSE PA1, DIÂMETRO DE 600MM, INCLUSIVE CARGA E DESCARGA MECÂNICA EM CAMINHÃO, ASSENTAMENTO E REJUNTAMENTO, EXCLUSIVE ESCAVAÇÃO E TRANSPORTE</v>
      </c>
      <c r="C24" s="253"/>
      <c r="D24" s="254"/>
      <c r="E24" s="255" t="s">
        <v>219</v>
      </c>
      <c r="F24" s="256"/>
      <c r="G24" s="256"/>
      <c r="H24" s="256"/>
      <c r="I24" s="256"/>
      <c r="J24" s="174" t="s">
        <v>49</v>
      </c>
      <c r="K24" s="76" t="str">
        <f>PLANILHA!D26</f>
        <v>m</v>
      </c>
      <c r="L24" s="70">
        <f>M24*N24</f>
        <v>16</v>
      </c>
      <c r="M24" s="184">
        <v>2</v>
      </c>
      <c r="N24" s="184">
        <v>8</v>
      </c>
    </row>
    <row r="25" spans="1:18" ht="24" customHeight="1" x14ac:dyDescent="0.2">
      <c r="A25" s="69" t="str">
        <f>PLANILHA!A27</f>
        <v>3.6.5</v>
      </c>
      <c r="B25" s="252" t="str">
        <f>PLANILHA!C27</f>
        <v>REATERRO COMPACTADO DE VALA COM EQUIPAMENTO PLACA VIBRATÓRIA</v>
      </c>
      <c r="C25" s="253"/>
      <c r="D25" s="254"/>
      <c r="E25" s="255" t="s">
        <v>170</v>
      </c>
      <c r="F25" s="256"/>
      <c r="G25" s="256"/>
      <c r="H25" s="256"/>
      <c r="I25" s="256"/>
      <c r="J25" s="174" t="s">
        <v>49</v>
      </c>
      <c r="K25" s="76" t="str">
        <f>PLANILHA!D27</f>
        <v>m3</v>
      </c>
      <c r="L25" s="70">
        <f>L24*1.5*1.4-L24*3.14*0.6*0.6*0.25</f>
        <v>29.078399999999995</v>
      </c>
      <c r="M25" s="182"/>
    </row>
    <row r="26" spans="1:18" ht="24" customHeight="1" x14ac:dyDescent="0.2">
      <c r="A26" s="69" t="str">
        <f>PLANILHA!A28</f>
        <v>3.6.6</v>
      </c>
      <c r="B26" s="252" t="str">
        <f>PLANILHA!C28</f>
        <v>CAIXA DRENAGEM INSPEÇÃO/PASSAGEM EM ALVENARIA (80X80X140CM), REVESTIMENTO EM ARGAMASSA C/ ADITIVO IMPERMEABILIZANTE, C/ TAMPA CONCRETO, INCL ESCAVAÇÃO, REATERRO E TRANSPORTE C/ RETIRADA DO MATERIAL ESCAVADO</v>
      </c>
      <c r="C26" s="253"/>
      <c r="D26" s="254"/>
      <c r="E26" s="255" t="s">
        <v>174</v>
      </c>
      <c r="F26" s="256"/>
      <c r="G26" s="256"/>
      <c r="H26" s="256"/>
      <c r="I26" s="256"/>
      <c r="J26" s="174" t="s">
        <v>174</v>
      </c>
      <c r="K26" s="76" t="str">
        <f>PLANILHA!D28</f>
        <v>unid</v>
      </c>
      <c r="L26" s="70">
        <f>M24*2</f>
        <v>4</v>
      </c>
      <c r="M26" s="182"/>
    </row>
    <row r="27" spans="1:18" ht="13.9" customHeight="1" x14ac:dyDescent="0.2">
      <c r="A27" s="69" t="str">
        <f>PLANILHA!A29</f>
        <v>3.7</v>
      </c>
      <c r="B27" s="252" t="str">
        <f>PLANILHA!C29</f>
        <v>DISSIPADOR DE ENERGIA</v>
      </c>
      <c r="C27" s="253"/>
      <c r="D27" s="254"/>
      <c r="E27" s="255"/>
      <c r="F27" s="256"/>
      <c r="G27" s="256"/>
      <c r="H27" s="256"/>
      <c r="I27" s="256"/>
      <c r="J27" s="174"/>
      <c r="K27" s="76">
        <f>PLANILHA!D29</f>
        <v>0</v>
      </c>
      <c r="L27" s="70"/>
      <c r="M27" s="46"/>
    </row>
    <row r="28" spans="1:18" ht="24" customHeight="1" x14ac:dyDescent="0.2">
      <c r="A28" s="69" t="str">
        <f>PLANILHA!A30</f>
        <v>3.7.1</v>
      </c>
      <c r="B28" s="252" t="str">
        <f>PLANILHA!C30</f>
        <v>CONCRETAGEM DE DISSIPADOR DE ENERGIA, FCK = 20 MPA, COM USO DE JERICAS E PREPARO EM BETONEIRA DE 600 L - AREIA E BRITA COMERCIAIS - LANÇAMENTO, ADENSAMENTO E ACABAMENTO. AF_08/2022</v>
      </c>
      <c r="C28" s="253"/>
      <c r="D28" s="254"/>
      <c r="E28" s="259" t="s">
        <v>175</v>
      </c>
      <c r="F28" s="260"/>
      <c r="G28" s="260"/>
      <c r="H28" s="260"/>
      <c r="I28" s="260"/>
      <c r="J28" s="174" t="s">
        <v>220</v>
      </c>
      <c r="K28" s="76" t="str">
        <f>PLANILHA!D30</f>
        <v>m3</v>
      </c>
      <c r="L28" s="70">
        <f>0.88*M28</f>
        <v>1.76</v>
      </c>
      <c r="M28" s="183">
        <f>M24</f>
        <v>2</v>
      </c>
      <c r="N28" s="185" t="s">
        <v>212</v>
      </c>
    </row>
    <row r="29" spans="1:18" ht="13.9" customHeight="1" x14ac:dyDescent="0.2">
      <c r="A29" s="69" t="str">
        <f>PLANILHA!A31</f>
        <v>3.7.2</v>
      </c>
      <c r="B29" s="252" t="str">
        <f>PLANILHA!C31</f>
        <v>FÔRMA E DESFORMA DE TÁBUA E SARRAFO, REAPROVEITAMENTO (5X), EXCLUSIVE ESCORAMENTO</v>
      </c>
      <c r="C29" s="253"/>
      <c r="D29" s="254"/>
      <c r="E29" s="259" t="s">
        <v>175</v>
      </c>
      <c r="F29" s="260"/>
      <c r="G29" s="260"/>
      <c r="H29" s="260"/>
      <c r="I29" s="260"/>
      <c r="J29" s="174" t="s">
        <v>221</v>
      </c>
      <c r="K29" s="76" t="str">
        <f>PLANILHA!D31</f>
        <v>m2</v>
      </c>
      <c r="L29" s="70">
        <f>5.25*M28</f>
        <v>10.5</v>
      </c>
      <c r="M29" s="46"/>
    </row>
    <row r="30" spans="1:18" ht="24" customHeight="1" x14ac:dyDescent="0.2">
      <c r="A30" s="69" t="str">
        <f>PLANILHA!A32</f>
        <v>3.7.3</v>
      </c>
      <c r="B30" s="252" t="str">
        <f>PLANILHA!C32</f>
        <v>PEDRA ARGAMASSADA COM CIMENTO E AREIA 1:3, 40% DE ARGAMASSA EM VOLUME - AREIA E PEDRA DE MÃO COMERCIAIS - FORNECIMENTO E ASSENTAMENTO. AF_08/2022</v>
      </c>
      <c r="C30" s="253"/>
      <c r="D30" s="254"/>
      <c r="E30" s="259" t="s">
        <v>175</v>
      </c>
      <c r="F30" s="260"/>
      <c r="G30" s="260"/>
      <c r="H30" s="260"/>
      <c r="I30" s="260"/>
      <c r="J30" s="174" t="s">
        <v>222</v>
      </c>
      <c r="K30" s="76" t="str">
        <f>PLANILHA!D31</f>
        <v>m2</v>
      </c>
      <c r="L30" s="70">
        <f>1.28*M28</f>
        <v>2.56</v>
      </c>
      <c r="M30" s="46"/>
    </row>
    <row r="31" spans="1:18" s="48" customFormat="1" ht="13.9" customHeight="1" x14ac:dyDescent="0.2">
      <c r="A31" s="49" t="str">
        <f>PLANILHA!F4</f>
        <v>DATA: 30/07/26</v>
      </c>
      <c r="B31" s="50"/>
      <c r="C31" s="51"/>
      <c r="D31" s="51"/>
      <c r="E31" s="52"/>
      <c r="F31" s="52"/>
      <c r="G31" s="52"/>
      <c r="H31" s="52"/>
      <c r="I31" s="52"/>
      <c r="J31" s="53"/>
      <c r="K31" s="54"/>
      <c r="L31" s="55"/>
      <c r="M31" s="47"/>
      <c r="N31" s="78"/>
      <c r="O31" s="79"/>
      <c r="P31" s="78"/>
      <c r="Q31" s="78"/>
      <c r="R31" s="78"/>
    </row>
    <row r="32" spans="1:18" s="48" customFormat="1" ht="13.9" customHeight="1" x14ac:dyDescent="0.2">
      <c r="A32" s="49"/>
      <c r="B32" s="50"/>
      <c r="C32" s="51"/>
      <c r="D32" s="51"/>
      <c r="E32" s="52"/>
      <c r="F32" s="52"/>
      <c r="G32" s="52"/>
      <c r="H32" s="52"/>
      <c r="I32" s="52"/>
      <c r="J32" s="53"/>
      <c r="K32" s="54"/>
      <c r="L32" s="55"/>
      <c r="M32" s="47"/>
      <c r="N32" s="78"/>
      <c r="O32" s="79"/>
      <c r="P32" s="78"/>
      <c r="Q32" s="78"/>
      <c r="R32" s="78"/>
    </row>
    <row r="33" spans="1:18" s="48" customFormat="1" ht="13.9" customHeight="1" x14ac:dyDescent="0.2">
      <c r="A33" s="49"/>
      <c r="B33" s="50"/>
      <c r="C33" s="51"/>
      <c r="D33" s="51"/>
      <c r="E33" s="52"/>
      <c r="F33" s="52"/>
      <c r="G33" s="52"/>
      <c r="H33" s="52"/>
      <c r="I33" s="52"/>
      <c r="J33" s="53"/>
      <c r="K33" s="54"/>
      <c r="L33" s="55"/>
      <c r="M33" s="47"/>
      <c r="N33" s="78"/>
      <c r="O33" s="79"/>
      <c r="P33" s="78"/>
      <c r="Q33" s="78"/>
      <c r="R33" s="78"/>
    </row>
    <row r="34" spans="1:18" ht="15.75" x14ac:dyDescent="0.25">
      <c r="I34" s="57"/>
      <c r="J34" s="59" t="s">
        <v>38</v>
      </c>
      <c r="M34" s="45"/>
      <c r="N34" s="61"/>
      <c r="O34" s="56"/>
      <c r="P34" s="62"/>
      <c r="Q34" s="62"/>
      <c r="R34" s="63"/>
    </row>
    <row r="35" spans="1:18" ht="15.75" x14ac:dyDescent="0.25">
      <c r="I35" s="57"/>
      <c r="J35" s="59" t="s">
        <v>39</v>
      </c>
      <c r="M35" s="45"/>
      <c r="N35" s="61"/>
      <c r="O35" s="56"/>
      <c r="P35" s="62"/>
      <c r="Q35" s="62"/>
      <c r="R35" s="63"/>
    </row>
  </sheetData>
  <mergeCells count="63">
    <mergeCell ref="E16:I16"/>
    <mergeCell ref="B17:D17"/>
    <mergeCell ref="E17:I17"/>
    <mergeCell ref="L2:L4"/>
    <mergeCell ref="C3:K3"/>
    <mergeCell ref="C4:K4"/>
    <mergeCell ref="E11:I11"/>
    <mergeCell ref="M8:M10"/>
    <mergeCell ref="E9:I9"/>
    <mergeCell ref="C1:I1"/>
    <mergeCell ref="B6:D6"/>
    <mergeCell ref="B15:D15"/>
    <mergeCell ref="E15:I15"/>
    <mergeCell ref="B14:D14"/>
    <mergeCell ref="B13:D13"/>
    <mergeCell ref="B8:D8"/>
    <mergeCell ref="E8:I8"/>
    <mergeCell ref="B11:D11"/>
    <mergeCell ref="E12:I12"/>
    <mergeCell ref="B7:D7"/>
    <mergeCell ref="B10:D10"/>
    <mergeCell ref="E10:I10"/>
    <mergeCell ref="E7:I7"/>
    <mergeCell ref="B9:D9"/>
    <mergeCell ref="E14:I14"/>
    <mergeCell ref="C2:K2"/>
    <mergeCell ref="E5:I6"/>
    <mergeCell ref="B12:D12"/>
    <mergeCell ref="A2:B4"/>
    <mergeCell ref="A5:A6"/>
    <mergeCell ref="B5:D5"/>
    <mergeCell ref="K5:K6"/>
    <mergeCell ref="J5:J6"/>
    <mergeCell ref="B30:D30"/>
    <mergeCell ref="E30:I30"/>
    <mergeCell ref="B22:D22"/>
    <mergeCell ref="E22:I22"/>
    <mergeCell ref="B24:D24"/>
    <mergeCell ref="E24:I24"/>
    <mergeCell ref="B25:D25"/>
    <mergeCell ref="B28:D28"/>
    <mergeCell ref="E28:I28"/>
    <mergeCell ref="B29:D29"/>
    <mergeCell ref="E29:I29"/>
    <mergeCell ref="E25:I25"/>
    <mergeCell ref="B26:D26"/>
    <mergeCell ref="E26:I26"/>
    <mergeCell ref="M5:N6"/>
    <mergeCell ref="B23:D23"/>
    <mergeCell ref="E23:I23"/>
    <mergeCell ref="B27:D27"/>
    <mergeCell ref="E27:I27"/>
    <mergeCell ref="E20:I20"/>
    <mergeCell ref="B21:D21"/>
    <mergeCell ref="E21:I21"/>
    <mergeCell ref="B19:D19"/>
    <mergeCell ref="E19:I19"/>
    <mergeCell ref="B20:D20"/>
    <mergeCell ref="E13:I13"/>
    <mergeCell ref="L5:L6"/>
    <mergeCell ref="B18:D18"/>
    <mergeCell ref="E18:I18"/>
    <mergeCell ref="B16:D16"/>
  </mergeCells>
  <pageMargins left="0.39370078740157483" right="0.19685039370078741" top="0.19685039370078741" bottom="0.19685039370078741" header="0" footer="0"/>
  <pageSetup paperSize="9" scale="70"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3A8A3-B814-468E-BB9D-2EC61498B92A}">
  <dimension ref="A1:AD45"/>
  <sheetViews>
    <sheetView showGridLines="0" showZeros="0" view="pageBreakPreview" topLeftCell="A2" zoomScaleNormal="100" zoomScaleSheetLayoutView="100" workbookViewId="0">
      <selection activeCell="C12" sqref="C12"/>
    </sheetView>
  </sheetViews>
  <sheetFormatPr defaultColWidth="9.140625" defaultRowHeight="12.75" x14ac:dyDescent="0.2"/>
  <cols>
    <col min="1" max="1" width="7.140625" style="1" customWidth="1"/>
    <col min="2" max="2" width="13" style="1" customWidth="1"/>
    <col min="3" max="3" width="111.5703125" style="1" customWidth="1"/>
    <col min="4" max="4" width="7.28515625" style="1" customWidth="1"/>
    <col min="5" max="5" width="12.28515625" style="1" customWidth="1"/>
    <col min="6" max="6" width="13.7109375" style="1" customWidth="1"/>
    <col min="7" max="7" width="12.28515625" style="1" customWidth="1"/>
    <col min="8" max="8" width="14.5703125" style="1" bestFit="1" customWidth="1"/>
    <col min="9" max="9" width="13.7109375" style="1" customWidth="1"/>
    <col min="10" max="10" width="11.42578125" style="1" bestFit="1" customWidth="1"/>
    <col min="11" max="11" width="14.5703125" style="1" bestFit="1" customWidth="1"/>
    <col min="12" max="12" width="16.5703125" style="1" customWidth="1"/>
    <col min="13" max="13" width="25.5703125" style="1" bestFit="1" customWidth="1"/>
    <col min="14" max="24" width="9.140625" style="1"/>
    <col min="25" max="25" width="13.28515625" style="1" customWidth="1"/>
    <col min="26" max="16384" width="9.140625" style="1"/>
  </cols>
  <sheetData>
    <row r="1" spans="1:13" ht="54.6" customHeight="1" x14ac:dyDescent="0.2">
      <c r="A1"/>
      <c r="C1" s="310"/>
      <c r="D1" s="310"/>
      <c r="E1" s="310"/>
      <c r="F1" s="310"/>
      <c r="G1" s="310"/>
      <c r="H1" s="310"/>
    </row>
    <row r="2" spans="1:13" ht="15" customHeight="1" x14ac:dyDescent="0.2">
      <c r="A2" s="305" t="s">
        <v>2</v>
      </c>
      <c r="B2" s="306"/>
      <c r="C2" s="306"/>
      <c r="D2" s="306"/>
      <c r="E2" s="306"/>
      <c r="F2" s="306"/>
      <c r="G2" s="306"/>
      <c r="H2" s="307"/>
      <c r="J2" s="65"/>
    </row>
    <row r="3" spans="1:13" ht="15" customHeight="1" x14ac:dyDescent="0.2">
      <c r="A3" s="309" t="s">
        <v>33</v>
      </c>
      <c r="B3" s="311"/>
      <c r="C3" s="311"/>
      <c r="D3" s="311"/>
      <c r="E3" s="312"/>
      <c r="F3" s="308" t="s">
        <v>186</v>
      </c>
      <c r="G3" s="309"/>
      <c r="H3" s="308"/>
    </row>
    <row r="4" spans="1:13" ht="15" customHeight="1" x14ac:dyDescent="0.2">
      <c r="A4" s="309" t="s">
        <v>238</v>
      </c>
      <c r="B4" s="311"/>
      <c r="C4" s="311"/>
      <c r="D4" s="311"/>
      <c r="E4" s="312"/>
      <c r="F4" s="308" t="s">
        <v>233</v>
      </c>
      <c r="G4" s="309"/>
      <c r="H4" s="308"/>
    </row>
    <row r="5" spans="1:13" ht="15" customHeight="1" x14ac:dyDescent="0.2">
      <c r="A5" s="317" t="s">
        <v>239</v>
      </c>
      <c r="B5" s="318"/>
      <c r="C5" s="318"/>
      <c r="D5" s="318"/>
      <c r="E5" s="319" t="s">
        <v>214</v>
      </c>
      <c r="F5" s="320"/>
      <c r="G5" s="313" t="s">
        <v>8</v>
      </c>
      <c r="H5" s="314"/>
    </row>
    <row r="6" spans="1:13" ht="15" customHeight="1" x14ac:dyDescent="0.2">
      <c r="A6" s="309" t="s">
        <v>240</v>
      </c>
      <c r="B6" s="311"/>
      <c r="C6" s="311"/>
      <c r="D6" s="311"/>
      <c r="E6" s="315" t="s">
        <v>216</v>
      </c>
      <c r="F6" s="316"/>
      <c r="G6" s="227" t="s">
        <v>12</v>
      </c>
      <c r="H6" s="228" t="s">
        <v>4</v>
      </c>
      <c r="J6" s="71"/>
      <c r="K6" s="71"/>
      <c r="L6" s="71"/>
    </row>
    <row r="7" spans="1:13" ht="15" customHeight="1" x14ac:dyDescent="0.2">
      <c r="A7" s="317" t="s">
        <v>241</v>
      </c>
      <c r="B7" s="321"/>
      <c r="C7" s="321"/>
      <c r="D7" s="321"/>
      <c r="E7" s="326" t="s">
        <v>215</v>
      </c>
      <c r="F7" s="327"/>
      <c r="G7" s="229" t="s">
        <v>5</v>
      </c>
      <c r="H7" s="230">
        <v>0.26469999999999999</v>
      </c>
      <c r="I7" s="217">
        <f>H33</f>
        <v>351428.47440000001</v>
      </c>
      <c r="J7" s="72"/>
      <c r="K7" s="73"/>
    </row>
    <row r="8" spans="1:13" ht="25.5" customHeight="1" x14ac:dyDescent="0.2">
      <c r="A8" s="8" t="s">
        <v>0</v>
      </c>
      <c r="B8" s="8" t="s">
        <v>3</v>
      </c>
      <c r="C8" s="8" t="s">
        <v>1</v>
      </c>
      <c r="D8" s="8" t="s">
        <v>17</v>
      </c>
      <c r="E8" s="205" t="s">
        <v>18</v>
      </c>
      <c r="F8" s="206" t="s">
        <v>14</v>
      </c>
      <c r="G8" s="206" t="s">
        <v>13</v>
      </c>
      <c r="H8" s="206" t="s">
        <v>6</v>
      </c>
      <c r="I8" s="218"/>
    </row>
    <row r="9" spans="1:13" ht="13.9" customHeight="1" x14ac:dyDescent="0.2">
      <c r="A9" s="186" t="s">
        <v>83</v>
      </c>
      <c r="B9" s="186" t="s">
        <v>84</v>
      </c>
      <c r="C9" s="187" t="s">
        <v>213</v>
      </c>
      <c r="D9" s="188"/>
      <c r="E9" s="189"/>
      <c r="F9" s="189"/>
      <c r="G9" s="190"/>
      <c r="H9" s="172"/>
      <c r="I9" s="218"/>
    </row>
    <row r="10" spans="1:13" ht="13.9" customHeight="1" x14ac:dyDescent="0.2">
      <c r="A10" s="188" t="s">
        <v>85</v>
      </c>
      <c r="B10" s="188" t="s">
        <v>86</v>
      </c>
      <c r="C10" s="191" t="s">
        <v>87</v>
      </c>
      <c r="D10" s="188" t="s">
        <v>88</v>
      </c>
      <c r="E10" s="192">
        <f>MEMÓRIA!L8</f>
        <v>1.2727272727272727</v>
      </c>
      <c r="F10" s="193">
        <v>9720.1</v>
      </c>
      <c r="G10" s="172">
        <f>ROUND(F10*($H$7+1),2)</f>
        <v>12293.01</v>
      </c>
      <c r="H10" s="172">
        <f>ROUND(E10*G10,2)</f>
        <v>15645.65</v>
      </c>
      <c r="I10" s="218"/>
    </row>
    <row r="11" spans="1:13" ht="13.9" customHeight="1" x14ac:dyDescent="0.2">
      <c r="A11" s="188" t="s">
        <v>89</v>
      </c>
      <c r="B11" s="188" t="s">
        <v>90</v>
      </c>
      <c r="C11" s="191" t="s">
        <v>91</v>
      </c>
      <c r="D11" s="188" t="s">
        <v>88</v>
      </c>
      <c r="E11" s="192">
        <f>MEMÓRIA!L9</f>
        <v>1.8181818181818181E-2</v>
      </c>
      <c r="F11" s="193">
        <v>8249.5400000000009</v>
      </c>
      <c r="G11" s="172">
        <f>ROUND(F11*($H$7+1),2)</f>
        <v>10433.19</v>
      </c>
      <c r="H11" s="172">
        <f>ROUND(E11*G11,2)</f>
        <v>189.69</v>
      </c>
      <c r="I11" s="218"/>
    </row>
    <row r="12" spans="1:13" ht="13.9" customHeight="1" x14ac:dyDescent="0.2">
      <c r="A12" s="188" t="s">
        <v>92</v>
      </c>
      <c r="B12" s="188" t="s">
        <v>93</v>
      </c>
      <c r="C12" s="191" t="s">
        <v>94</v>
      </c>
      <c r="D12" s="188" t="s">
        <v>88</v>
      </c>
      <c r="E12" s="192">
        <f>MEMÓRIA!L10</f>
        <v>1.8181818181818181E-2</v>
      </c>
      <c r="F12" s="193">
        <v>23794.19</v>
      </c>
      <c r="G12" s="172">
        <f>ROUND(F12*($H$7+1),2)</f>
        <v>30092.51</v>
      </c>
      <c r="H12" s="172">
        <f>ROUND(E12*G12,2)</f>
        <v>547.14</v>
      </c>
      <c r="I12" s="216">
        <f>SUM(H10:H12)</f>
        <v>16382.48</v>
      </c>
      <c r="J12" s="177">
        <f>I12/H33</f>
        <v>4.6616825878922005E-2</v>
      </c>
      <c r="K12" s="226" t="s">
        <v>232</v>
      </c>
    </row>
    <row r="13" spans="1:13" ht="13.9" customHeight="1" x14ac:dyDescent="0.2">
      <c r="A13" s="194">
        <v>2</v>
      </c>
      <c r="B13" s="194"/>
      <c r="C13" s="195" t="s">
        <v>29</v>
      </c>
      <c r="D13" s="194"/>
      <c r="E13" s="192">
        <f>MEMÓRIA!L11</f>
        <v>0</v>
      </c>
      <c r="F13" s="189"/>
      <c r="G13" s="172"/>
      <c r="H13" s="172"/>
      <c r="I13" s="218"/>
    </row>
    <row r="14" spans="1:13" ht="34.15" customHeight="1" x14ac:dyDescent="0.2">
      <c r="A14" s="196" t="s">
        <v>11</v>
      </c>
      <c r="B14" s="197" t="s">
        <v>45</v>
      </c>
      <c r="C14" s="198" t="s">
        <v>69</v>
      </c>
      <c r="D14" s="197" t="s">
        <v>32</v>
      </c>
      <c r="E14" s="192">
        <f>MEMÓRIA!L12</f>
        <v>2</v>
      </c>
      <c r="F14" s="199">
        <v>261.86</v>
      </c>
      <c r="G14" s="172">
        <f>ROUND(F14*($H$7+1),2)</f>
        <v>331.17</v>
      </c>
      <c r="H14" s="172">
        <f>ROUND(E14*G14,2)</f>
        <v>662.34</v>
      </c>
      <c r="I14" s="6"/>
      <c r="J14" s="172">
        <v>2</v>
      </c>
      <c r="K14" s="208">
        <v>344537.72</v>
      </c>
      <c r="M14" s="80"/>
    </row>
    <row r="15" spans="1:13" ht="13.9" customHeight="1" x14ac:dyDescent="0.2">
      <c r="A15" s="196" t="s">
        <v>43</v>
      </c>
      <c r="B15" s="200" t="s">
        <v>76</v>
      </c>
      <c r="C15" s="198" t="s">
        <v>77</v>
      </c>
      <c r="D15" s="201" t="s">
        <v>50</v>
      </c>
      <c r="E15" s="192">
        <f>J14</f>
        <v>2</v>
      </c>
      <c r="F15" s="222">
        <f>ROUND(G15/1.2647,2)</f>
        <v>272426.44</v>
      </c>
      <c r="G15" s="172">
        <f>K14</f>
        <v>344537.72</v>
      </c>
      <c r="H15" s="172">
        <f>ROUND(E15*G15,2)/100</f>
        <v>6890.7543999999998</v>
      </c>
      <c r="I15" s="216">
        <f>SUM(H14:H15)</f>
        <v>7553.0944</v>
      </c>
      <c r="J15" s="207">
        <f>H15-K15</f>
        <v>0</v>
      </c>
      <c r="K15" s="221">
        <f>J14*K14/100</f>
        <v>6890.7543999999998</v>
      </c>
    </row>
    <row r="16" spans="1:13" ht="13.9" customHeight="1" x14ac:dyDescent="0.2">
      <c r="A16" s="194">
        <v>3</v>
      </c>
      <c r="B16" s="194"/>
      <c r="C16" s="195" t="s">
        <v>44</v>
      </c>
      <c r="D16" s="202"/>
      <c r="E16" s="192">
        <f>MEMÓRIA!L14</f>
        <v>0</v>
      </c>
      <c r="F16" s="199">
        <v>0</v>
      </c>
      <c r="G16" s="172">
        <f t="shared" ref="G16:G25" si="0">ROUND(F16*($H$7+1),2)</f>
        <v>0</v>
      </c>
      <c r="H16" s="172"/>
      <c r="I16" s="6"/>
      <c r="J16" s="220"/>
    </row>
    <row r="17" spans="1:30" ht="24" customHeight="1" x14ac:dyDescent="0.2">
      <c r="A17" s="196" t="s">
        <v>95</v>
      </c>
      <c r="B17" s="201" t="s">
        <v>51</v>
      </c>
      <c r="C17" s="203" t="s">
        <v>181</v>
      </c>
      <c r="D17" s="197" t="s">
        <v>31</v>
      </c>
      <c r="E17" s="192">
        <f>MEMÓRIA!L15</f>
        <v>704.7</v>
      </c>
      <c r="F17" s="199">
        <v>79.13</v>
      </c>
      <c r="G17" s="172">
        <f t="shared" si="0"/>
        <v>100.08</v>
      </c>
      <c r="H17" s="172">
        <f>ROUND(E17*G17,2)</f>
        <v>70526.38</v>
      </c>
      <c r="I17" s="6"/>
      <c r="J17" s="80"/>
      <c r="K17" s="220"/>
      <c r="L17" s="223"/>
      <c r="P17" s="295" t="s">
        <v>188</v>
      </c>
      <c r="Q17" s="296"/>
      <c r="R17" s="296"/>
      <c r="S17" s="296"/>
      <c r="T17" s="297"/>
      <c r="U17" s="295" t="s">
        <v>189</v>
      </c>
      <c r="V17" s="296"/>
      <c r="W17" s="297"/>
      <c r="X17" s="298" t="s">
        <v>32</v>
      </c>
      <c r="Y17" s="299"/>
      <c r="Z17" s="300">
        <v>46023</v>
      </c>
      <c r="AA17" s="301"/>
      <c r="AB17" s="301"/>
      <c r="AC17" s="299"/>
      <c r="AD17" s="209">
        <v>82.44</v>
      </c>
    </row>
    <row r="18" spans="1:30" ht="13.9" customHeight="1" x14ac:dyDescent="0.2">
      <c r="A18" s="196" t="s">
        <v>182</v>
      </c>
      <c r="B18" s="201" t="s">
        <v>67</v>
      </c>
      <c r="C18" s="203" t="s">
        <v>68</v>
      </c>
      <c r="D18" s="197" t="s">
        <v>31</v>
      </c>
      <c r="E18" s="192">
        <f>MEMÓRIA!L16</f>
        <v>704.7</v>
      </c>
      <c r="F18" s="199">
        <v>1.82</v>
      </c>
      <c r="G18" s="172">
        <f t="shared" si="0"/>
        <v>2.2999999999999998</v>
      </c>
      <c r="H18" s="172">
        <f>ROUND(E18*G18,2)</f>
        <v>1620.81</v>
      </c>
      <c r="I18" s="6"/>
      <c r="J18" s="80"/>
      <c r="K18" s="75"/>
      <c r="L18" s="67"/>
      <c r="M18" s="80"/>
      <c r="P18" s="295"/>
      <c r="Q18" s="296"/>
      <c r="R18" s="296"/>
      <c r="S18" s="296"/>
      <c r="T18" s="297"/>
      <c r="U18" s="295"/>
      <c r="V18" s="296"/>
      <c r="W18" s="297"/>
      <c r="X18" s="298"/>
      <c r="Y18" s="299"/>
      <c r="Z18" s="298"/>
      <c r="AA18" s="301"/>
      <c r="AB18" s="301"/>
      <c r="AC18" s="299"/>
      <c r="AD18" s="210"/>
    </row>
    <row r="19" spans="1:30" ht="24" customHeight="1" x14ac:dyDescent="0.2">
      <c r="A19" s="196" t="s">
        <v>183</v>
      </c>
      <c r="B19" s="197" t="s">
        <v>70</v>
      </c>
      <c r="C19" s="204" t="s">
        <v>199</v>
      </c>
      <c r="D19" s="196" t="s">
        <v>32</v>
      </c>
      <c r="E19" s="192">
        <f>MEMÓRIA!L17</f>
        <v>1548</v>
      </c>
      <c r="F19" s="199">
        <v>106.87</v>
      </c>
      <c r="G19" s="172">
        <f t="shared" si="0"/>
        <v>135.16</v>
      </c>
      <c r="H19" s="172">
        <f>ROUND(E19*G19,2)</f>
        <v>209227.68</v>
      </c>
      <c r="I19" s="6"/>
      <c r="J19" s="80"/>
      <c r="K19" s="75"/>
      <c r="L19" s="67"/>
      <c r="M19" s="80"/>
      <c r="P19" s="295"/>
      <c r="Q19" s="296"/>
      <c r="R19" s="296"/>
      <c r="S19" s="296"/>
      <c r="T19" s="297"/>
      <c r="U19" s="295"/>
      <c r="V19" s="296"/>
      <c r="W19" s="297"/>
      <c r="X19" s="298"/>
      <c r="Y19" s="299"/>
      <c r="Z19" s="298"/>
      <c r="AA19" s="301"/>
      <c r="AB19" s="301"/>
      <c r="AC19" s="299"/>
      <c r="AD19" s="210"/>
    </row>
    <row r="20" spans="1:30" ht="24" customHeight="1" x14ac:dyDescent="0.2">
      <c r="A20" s="196" t="s">
        <v>184</v>
      </c>
      <c r="B20" s="197" t="s">
        <v>78</v>
      </c>
      <c r="C20" s="204" t="s">
        <v>82</v>
      </c>
      <c r="D20" s="196" t="s">
        <v>56</v>
      </c>
      <c r="E20" s="192">
        <f>MEMÓRIA!L18</f>
        <v>172</v>
      </c>
      <c r="F20" s="199">
        <v>47.14</v>
      </c>
      <c r="G20" s="172">
        <f t="shared" si="0"/>
        <v>59.62</v>
      </c>
      <c r="H20" s="172">
        <f>ROUND(E20*G20,2)</f>
        <v>10254.64</v>
      </c>
      <c r="I20" s="6"/>
      <c r="J20" s="80"/>
      <c r="K20" s="75"/>
      <c r="L20" s="67"/>
      <c r="M20" s="80"/>
      <c r="P20" s="295" t="s">
        <v>190</v>
      </c>
      <c r="Q20" s="296"/>
      <c r="R20" s="296"/>
      <c r="S20" s="296"/>
      <c r="T20" s="297"/>
      <c r="U20" s="295" t="s">
        <v>191</v>
      </c>
      <c r="V20" s="296"/>
      <c r="W20" s="297"/>
      <c r="X20" s="298" t="s">
        <v>56</v>
      </c>
      <c r="Y20" s="299"/>
      <c r="Z20" s="300">
        <v>46023</v>
      </c>
      <c r="AA20" s="301"/>
      <c r="AB20" s="301"/>
      <c r="AC20" s="299"/>
      <c r="AD20" s="210">
        <v>181.5</v>
      </c>
    </row>
    <row r="21" spans="1:30" ht="13.9" customHeight="1" x14ac:dyDescent="0.2">
      <c r="A21" s="196" t="s">
        <v>200</v>
      </c>
      <c r="B21" s="197" t="s">
        <v>79</v>
      </c>
      <c r="C21" s="204" t="s">
        <v>97</v>
      </c>
      <c r="D21" s="196" t="s">
        <v>56</v>
      </c>
      <c r="E21" s="192">
        <f>MEMÓRIA!L19</f>
        <v>172</v>
      </c>
      <c r="F21" s="199">
        <v>56.33</v>
      </c>
      <c r="G21" s="172">
        <f t="shared" si="0"/>
        <v>71.239999999999995</v>
      </c>
      <c r="H21" s="172">
        <f>ROUND(E21*G21,2)</f>
        <v>12253.28</v>
      </c>
      <c r="I21" s="219"/>
      <c r="J21" s="80"/>
      <c r="K21" s="75"/>
      <c r="L21" s="67"/>
      <c r="M21" s="80"/>
      <c r="P21" s="211"/>
      <c r="Q21" s="212"/>
      <c r="R21" s="213" t="s">
        <v>192</v>
      </c>
      <c r="S21" s="211"/>
      <c r="T21" s="211">
        <v>0.06</v>
      </c>
      <c r="U21" s="211" t="s">
        <v>193</v>
      </c>
      <c r="V21" s="214">
        <f>T21*AD20</f>
        <v>10.889999999999999</v>
      </c>
      <c r="W21" s="211" t="s">
        <v>46</v>
      </c>
      <c r="X21" s="211" t="s">
        <v>194</v>
      </c>
      <c r="Y21" s="211"/>
      <c r="Z21" s="211"/>
      <c r="AA21" s="211"/>
      <c r="AB21" s="211"/>
      <c r="AC21" s="211"/>
      <c r="AD21" s="211"/>
    </row>
    <row r="22" spans="1:30" ht="13.9" customHeight="1" x14ac:dyDescent="0.2">
      <c r="A22" s="196" t="s">
        <v>201</v>
      </c>
      <c r="B22" s="197"/>
      <c r="C22" s="198" t="s">
        <v>52</v>
      </c>
      <c r="D22" s="196"/>
      <c r="E22" s="192">
        <f>MEMÓRIA!L20</f>
        <v>0</v>
      </c>
      <c r="F22" s="199">
        <v>0</v>
      </c>
      <c r="G22" s="172">
        <f t="shared" si="0"/>
        <v>0</v>
      </c>
      <c r="H22" s="172"/>
      <c r="I22" s="219"/>
      <c r="J22" s="80"/>
      <c r="K22" s="75"/>
      <c r="L22" s="67"/>
      <c r="M22" s="80"/>
      <c r="P22" s="211"/>
      <c r="Q22" s="212"/>
      <c r="R22" s="213"/>
      <c r="S22" s="211"/>
      <c r="T22" s="211"/>
      <c r="U22" s="211"/>
      <c r="V22" s="211"/>
      <c r="W22" s="211"/>
      <c r="X22" s="211"/>
      <c r="Y22" s="211"/>
      <c r="Z22" s="211"/>
      <c r="AA22" s="211"/>
      <c r="AB22" s="211"/>
      <c r="AC22" s="211"/>
      <c r="AD22" s="211"/>
    </row>
    <row r="23" spans="1:30" ht="24" customHeight="1" x14ac:dyDescent="0.2">
      <c r="A23" s="196" t="s">
        <v>202</v>
      </c>
      <c r="B23" s="197" t="s">
        <v>161</v>
      </c>
      <c r="C23" s="198" t="s">
        <v>163</v>
      </c>
      <c r="D23" s="201" t="s">
        <v>55</v>
      </c>
      <c r="E23" s="192">
        <f>MEMÓRIA!L21</f>
        <v>6</v>
      </c>
      <c r="F23" s="199">
        <v>75.150000000000006</v>
      </c>
      <c r="G23" s="172">
        <f t="shared" si="0"/>
        <v>95.04</v>
      </c>
      <c r="H23" s="172">
        <f t="shared" ref="H23:H28" si="1">ROUND(E23*G23,2)</f>
        <v>570.24</v>
      </c>
      <c r="I23" s="219"/>
      <c r="J23" s="80"/>
      <c r="K23" s="75"/>
      <c r="L23" s="67"/>
      <c r="M23" s="80"/>
      <c r="P23" s="295" t="s">
        <v>195</v>
      </c>
      <c r="Q23" s="296"/>
      <c r="R23" s="296"/>
      <c r="S23" s="296"/>
      <c r="T23" s="297"/>
      <c r="U23" s="295" t="s">
        <v>196</v>
      </c>
      <c r="V23" s="296"/>
      <c r="W23" s="297"/>
      <c r="X23" s="298" t="s">
        <v>31</v>
      </c>
      <c r="Y23" s="299"/>
      <c r="Z23" s="300">
        <v>46023</v>
      </c>
      <c r="AA23" s="301"/>
      <c r="AB23" s="301"/>
      <c r="AC23" s="299"/>
      <c r="AD23" s="209">
        <v>37.5</v>
      </c>
    </row>
    <row r="24" spans="1:30" ht="24" customHeight="1" x14ac:dyDescent="0.2">
      <c r="A24" s="196" t="s">
        <v>203</v>
      </c>
      <c r="B24" s="197" t="s">
        <v>160</v>
      </c>
      <c r="C24" s="198" t="s">
        <v>164</v>
      </c>
      <c r="D24" s="201" t="s">
        <v>75</v>
      </c>
      <c r="E24" s="192">
        <f>MEMÓRIA!L22</f>
        <v>8</v>
      </c>
      <c r="F24" s="199">
        <v>162.62</v>
      </c>
      <c r="G24" s="172">
        <f t="shared" si="0"/>
        <v>205.67</v>
      </c>
      <c r="H24" s="172">
        <f t="shared" si="1"/>
        <v>1645.36</v>
      </c>
      <c r="I24" s="219"/>
      <c r="J24" s="80"/>
      <c r="K24" s="75"/>
      <c r="L24" s="67"/>
      <c r="M24" s="80"/>
      <c r="P24" s="211" t="s">
        <v>197</v>
      </c>
      <c r="Q24" s="212">
        <f>80.92-AD23</f>
        <v>43.42</v>
      </c>
      <c r="R24" s="215"/>
      <c r="S24" s="211"/>
      <c r="T24" s="211"/>
      <c r="U24" s="211"/>
      <c r="V24" s="211"/>
      <c r="W24" s="211"/>
      <c r="X24" s="211"/>
      <c r="Y24" s="211"/>
      <c r="Z24" s="211"/>
      <c r="AA24" s="211"/>
      <c r="AB24" s="211"/>
      <c r="AC24" s="211"/>
      <c r="AD24" s="211"/>
    </row>
    <row r="25" spans="1:30" ht="13.9" customHeight="1" x14ac:dyDescent="0.2">
      <c r="A25" s="196" t="s">
        <v>204</v>
      </c>
      <c r="B25" s="197" t="s">
        <v>57</v>
      </c>
      <c r="C25" s="198" t="s">
        <v>53</v>
      </c>
      <c r="D25" s="201" t="s">
        <v>32</v>
      </c>
      <c r="E25" s="192">
        <f>MEMÓRIA!L23</f>
        <v>20.8</v>
      </c>
      <c r="F25" s="199">
        <v>15.26</v>
      </c>
      <c r="G25" s="172">
        <f t="shared" si="0"/>
        <v>19.3</v>
      </c>
      <c r="H25" s="172">
        <f t="shared" si="1"/>
        <v>401.44</v>
      </c>
      <c r="I25" s="219"/>
      <c r="J25" s="80"/>
      <c r="K25" s="75"/>
      <c r="L25" s="67"/>
      <c r="M25" s="80"/>
      <c r="P25" s="211" t="s">
        <v>198</v>
      </c>
      <c r="Q25" s="212">
        <f>103.84-AD17-V21</f>
        <v>10.510000000000007</v>
      </c>
      <c r="R25" s="215"/>
      <c r="S25" s="211"/>
      <c r="T25" s="211"/>
      <c r="U25" s="211"/>
      <c r="V25" s="211"/>
      <c r="W25" s="211"/>
      <c r="X25" s="211"/>
      <c r="Y25" s="211"/>
      <c r="Z25" s="211"/>
      <c r="AA25" s="211"/>
      <c r="AB25" s="211"/>
      <c r="AC25" s="211"/>
      <c r="AD25" s="211"/>
    </row>
    <row r="26" spans="1:30" ht="24" customHeight="1" x14ac:dyDescent="0.2">
      <c r="A26" s="196" t="s">
        <v>205</v>
      </c>
      <c r="B26" s="197" t="s">
        <v>72</v>
      </c>
      <c r="C26" s="198" t="s">
        <v>71</v>
      </c>
      <c r="D26" s="201" t="s">
        <v>31</v>
      </c>
      <c r="E26" s="192">
        <f>MEMÓRIA!L24</f>
        <v>16</v>
      </c>
      <c r="F26" s="199">
        <v>287.52</v>
      </c>
      <c r="G26" s="172">
        <f>ROUND(F26*($H$7+1),2)</f>
        <v>363.63</v>
      </c>
      <c r="H26" s="172">
        <f t="shared" si="1"/>
        <v>5818.08</v>
      </c>
      <c r="I26" s="219"/>
      <c r="J26" s="80"/>
      <c r="K26" s="75"/>
      <c r="L26" s="67"/>
      <c r="M26" s="80"/>
    </row>
    <row r="27" spans="1:30" ht="13.9" customHeight="1" x14ac:dyDescent="0.2">
      <c r="A27" s="196" t="s">
        <v>206</v>
      </c>
      <c r="B27" s="197" t="s">
        <v>58</v>
      </c>
      <c r="C27" s="198" t="s">
        <v>54</v>
      </c>
      <c r="D27" s="201" t="s">
        <v>56</v>
      </c>
      <c r="E27" s="192">
        <f>MEMÓRIA!L25</f>
        <v>29.078399999999995</v>
      </c>
      <c r="F27" s="199">
        <v>50.57</v>
      </c>
      <c r="G27" s="172">
        <f>ROUND(F27*($H$7+1),2)</f>
        <v>63.96</v>
      </c>
      <c r="H27" s="172">
        <f t="shared" si="1"/>
        <v>1859.85</v>
      </c>
      <c r="I27" s="219"/>
      <c r="J27" s="80"/>
      <c r="K27" s="172">
        <v>2140.2199999999998</v>
      </c>
      <c r="L27" s="184" t="s">
        <v>173</v>
      </c>
      <c r="M27" s="172" t="s">
        <v>224</v>
      </c>
    </row>
    <row r="28" spans="1:30" ht="24" customHeight="1" x14ac:dyDescent="0.2">
      <c r="A28" s="196" t="s">
        <v>207</v>
      </c>
      <c r="B28" s="197" t="s">
        <v>230</v>
      </c>
      <c r="C28" s="198" t="s">
        <v>231</v>
      </c>
      <c r="D28" s="201" t="s">
        <v>30</v>
      </c>
      <c r="E28" s="192">
        <f>MEMÓRIA!L26</f>
        <v>4</v>
      </c>
      <c r="F28" s="199">
        <f>K30</f>
        <v>1765.5569999999998</v>
      </c>
      <c r="G28" s="172">
        <f>ROUND(F28*($H$7+1),2)</f>
        <v>2232.9</v>
      </c>
      <c r="H28" s="172">
        <f t="shared" si="1"/>
        <v>8931.6</v>
      </c>
      <c r="I28" s="219"/>
      <c r="J28" s="80"/>
      <c r="K28" s="172">
        <f>222.7*0.9*0.9</f>
        <v>180.387</v>
      </c>
      <c r="L28" s="172" t="s">
        <v>225</v>
      </c>
      <c r="M28" s="172" t="s">
        <v>226</v>
      </c>
    </row>
    <row r="29" spans="1:30" ht="13.9" customHeight="1" x14ac:dyDescent="0.2">
      <c r="A29" s="196" t="s">
        <v>208</v>
      </c>
      <c r="B29" s="197"/>
      <c r="C29" s="198" t="s">
        <v>176</v>
      </c>
      <c r="D29" s="201"/>
      <c r="E29" s="192">
        <f>MEMÓRIA!L27</f>
        <v>0</v>
      </c>
      <c r="F29" s="199"/>
      <c r="G29" s="172"/>
      <c r="H29" s="172"/>
      <c r="I29" s="219"/>
      <c r="J29" s="80"/>
      <c r="K29" s="172">
        <v>555.04999999999995</v>
      </c>
      <c r="L29" s="172" t="s">
        <v>227</v>
      </c>
      <c r="M29" s="172" t="s">
        <v>228</v>
      </c>
    </row>
    <row r="30" spans="1:30" ht="24" customHeight="1" x14ac:dyDescent="0.2">
      <c r="A30" s="196" t="s">
        <v>209</v>
      </c>
      <c r="B30" s="197" t="s">
        <v>171</v>
      </c>
      <c r="C30" s="198" t="s">
        <v>172</v>
      </c>
      <c r="D30" s="201" t="s">
        <v>56</v>
      </c>
      <c r="E30" s="192">
        <f>MEMÓRIA!L28</f>
        <v>1.76</v>
      </c>
      <c r="F30" s="199">
        <v>752.63</v>
      </c>
      <c r="G30" s="172">
        <f>ROUND(F30*($H$7+1),2)</f>
        <v>951.85</v>
      </c>
      <c r="H30" s="172">
        <f>ROUND(E30*G30,2)</f>
        <v>1675.26</v>
      </c>
      <c r="I30" s="219"/>
      <c r="J30" s="80"/>
      <c r="K30" s="172">
        <f>K27-K29+K28</f>
        <v>1765.5569999999998</v>
      </c>
      <c r="L30" s="172"/>
      <c r="M30" s="172" t="s">
        <v>229</v>
      </c>
    </row>
    <row r="31" spans="1:30" ht="13.9" customHeight="1" x14ac:dyDescent="0.2">
      <c r="A31" s="196" t="s">
        <v>210</v>
      </c>
      <c r="B31" s="197" t="s">
        <v>177</v>
      </c>
      <c r="C31" s="198" t="s">
        <v>178</v>
      </c>
      <c r="D31" s="201" t="s">
        <v>32</v>
      </c>
      <c r="E31" s="192">
        <f>MEMÓRIA!L29</f>
        <v>10.5</v>
      </c>
      <c r="F31" s="199">
        <v>60.64</v>
      </c>
      <c r="G31" s="172">
        <f>ROUND(F31*($H$7+1),2)</f>
        <v>76.69</v>
      </c>
      <c r="H31" s="172">
        <f>ROUND(E31*G31,2)</f>
        <v>805.25</v>
      </c>
      <c r="I31" s="219"/>
      <c r="J31" s="80"/>
      <c r="K31" s="75"/>
      <c r="L31" s="67"/>
      <c r="M31" s="80"/>
    </row>
    <row r="32" spans="1:30" ht="24" customHeight="1" x14ac:dyDescent="0.2">
      <c r="A32" s="196" t="s">
        <v>211</v>
      </c>
      <c r="B32" s="197" t="s">
        <v>179</v>
      </c>
      <c r="C32" s="198" t="s">
        <v>180</v>
      </c>
      <c r="D32" s="201" t="s">
        <v>56</v>
      </c>
      <c r="E32" s="192">
        <f>MEMÓRIA!L30</f>
        <v>2.56</v>
      </c>
      <c r="F32" s="199">
        <v>587.78</v>
      </c>
      <c r="G32" s="172">
        <f>ROUND(F32*($H$7+1),2)</f>
        <v>743.37</v>
      </c>
      <c r="H32" s="172">
        <f>ROUND(E32*G32,2)</f>
        <v>1903.03</v>
      </c>
      <c r="I32" s="216">
        <f>SUM(H17:H32)</f>
        <v>327492.90000000002</v>
      </c>
      <c r="J32" s="80"/>
      <c r="K32" s="75"/>
      <c r="L32" s="67"/>
      <c r="M32" s="80"/>
    </row>
    <row r="33" spans="1:11" ht="12.75" customHeight="1" x14ac:dyDescent="0.2">
      <c r="A33" s="323" t="s">
        <v>41</v>
      </c>
      <c r="B33" s="324"/>
      <c r="C33" s="324"/>
      <c r="D33" s="324"/>
      <c r="E33" s="324"/>
      <c r="F33" s="324"/>
      <c r="G33" s="325"/>
      <c r="H33" s="181">
        <f>SUM(H10:H32)</f>
        <v>351428.47440000001</v>
      </c>
      <c r="I33" s="172">
        <f>SUM(I8:I32)</f>
        <v>351428.47440000001</v>
      </c>
      <c r="J33" s="9"/>
    </row>
    <row r="34" spans="1:11" ht="12.75" customHeight="1" x14ac:dyDescent="0.2">
      <c r="A34" s="2"/>
      <c r="B34" s="2"/>
      <c r="C34" s="2"/>
      <c r="D34" s="2"/>
      <c r="E34" s="2"/>
      <c r="F34" s="2"/>
      <c r="G34" s="2"/>
      <c r="H34" s="3"/>
      <c r="I34" s="9"/>
    </row>
    <row r="35" spans="1:11" ht="12.75" customHeight="1" x14ac:dyDescent="0.2">
      <c r="A35" s="2"/>
      <c r="B35" s="2"/>
      <c r="C35" s="2"/>
      <c r="D35" s="2"/>
      <c r="E35" s="2"/>
      <c r="F35" s="2"/>
      <c r="G35" s="2"/>
      <c r="H35" s="3"/>
      <c r="I35" s="9"/>
      <c r="J35" s="224"/>
      <c r="K35" s="224"/>
    </row>
    <row r="36" spans="1:11" ht="12.75" customHeight="1" x14ac:dyDescent="0.2">
      <c r="A36" s="2"/>
      <c r="B36" s="2"/>
      <c r="C36" s="2"/>
      <c r="D36" s="2"/>
      <c r="E36" s="2"/>
      <c r="F36" s="2"/>
      <c r="G36" s="2"/>
      <c r="H36" s="3"/>
      <c r="I36" s="172" t="s">
        <v>46</v>
      </c>
      <c r="J36" s="172">
        <f>H33/E19</f>
        <v>227.02097829457364</v>
      </c>
      <c r="K36" s="224"/>
    </row>
    <row r="37" spans="1:11" ht="12.75" customHeight="1" x14ac:dyDescent="0.2">
      <c r="A37" s="4"/>
      <c r="B37" s="328" t="s">
        <v>16</v>
      </c>
      <c r="C37" s="329"/>
      <c r="D37" s="4"/>
      <c r="E37" s="304" t="s">
        <v>223</v>
      </c>
      <c r="F37" s="304"/>
      <c r="G37" s="5"/>
      <c r="H37" s="97"/>
      <c r="I37" s="9"/>
      <c r="K37" s="225"/>
    </row>
    <row r="38" spans="1:11" ht="12.75" customHeight="1" x14ac:dyDescent="0.2">
      <c r="A38" s="6"/>
      <c r="B38" s="302" t="s">
        <v>9</v>
      </c>
      <c r="C38" s="302"/>
      <c r="D38" s="6"/>
      <c r="E38" s="303" t="s">
        <v>7</v>
      </c>
      <c r="F38" s="303"/>
      <c r="G38" s="7"/>
      <c r="H38" s="64"/>
    </row>
    <row r="39" spans="1:11" ht="12.75" customHeight="1" x14ac:dyDescent="0.2">
      <c r="A39" s="6"/>
      <c r="B39" s="7"/>
      <c r="C39" s="7"/>
      <c r="D39" s="6"/>
      <c r="E39" s="7"/>
      <c r="F39" s="7"/>
      <c r="G39" s="7"/>
      <c r="H39" s="64"/>
    </row>
    <row r="40" spans="1:11" ht="12.75" customHeight="1" x14ac:dyDescent="0.2">
      <c r="A40" s="6"/>
      <c r="B40" s="7"/>
      <c r="C40" s="7"/>
      <c r="D40" s="6"/>
      <c r="E40" s="7"/>
      <c r="F40" s="7"/>
      <c r="G40" s="7"/>
      <c r="H40" s="64"/>
    </row>
    <row r="41" spans="1:11" ht="12.75" customHeight="1" x14ac:dyDescent="0.2">
      <c r="A41" s="4"/>
      <c r="B41" s="304"/>
      <c r="C41" s="304"/>
      <c r="D41" s="4"/>
      <c r="E41" s="322"/>
      <c r="F41" s="322"/>
      <c r="G41" s="5"/>
      <c r="H41" s="4"/>
      <c r="I41" s="9"/>
    </row>
    <row r="42" spans="1:11" ht="12.75" customHeight="1" x14ac:dyDescent="0.2">
      <c r="A42" s="6"/>
      <c r="B42" s="302" t="s">
        <v>10</v>
      </c>
      <c r="C42" s="302"/>
      <c r="D42" s="6"/>
      <c r="E42" s="303"/>
      <c r="F42" s="303"/>
      <c r="G42" s="7"/>
      <c r="H42" s="64"/>
      <c r="I42" s="66"/>
      <c r="J42" s="67"/>
    </row>
    <row r="43" spans="1:11" ht="12.75" customHeight="1" x14ac:dyDescent="0.2">
      <c r="H43" s="65"/>
      <c r="I43" s="66"/>
    </row>
    <row r="44" spans="1:11" ht="12.75" customHeight="1" x14ac:dyDescent="0.2">
      <c r="C44" s="96"/>
      <c r="H44" s="65"/>
      <c r="I44" s="66"/>
    </row>
    <row r="45" spans="1:11" ht="12.75" customHeight="1" x14ac:dyDescent="0.2">
      <c r="I45" s="9"/>
    </row>
  </sheetData>
  <mergeCells count="42">
    <mergeCell ref="P20:T20"/>
    <mergeCell ref="E7:F7"/>
    <mergeCell ref="A4:E4"/>
    <mergeCell ref="A6:D6"/>
    <mergeCell ref="P23:T23"/>
    <mergeCell ref="P19:T19"/>
    <mergeCell ref="C1:H1"/>
    <mergeCell ref="A3:E3"/>
    <mergeCell ref="F4:H4"/>
    <mergeCell ref="G5:H5"/>
    <mergeCell ref="E6:F6"/>
    <mergeCell ref="A5:D5"/>
    <mergeCell ref="E5:F5"/>
    <mergeCell ref="B42:C42"/>
    <mergeCell ref="E42:F42"/>
    <mergeCell ref="B41:C41"/>
    <mergeCell ref="A2:H2"/>
    <mergeCell ref="F3:H3"/>
    <mergeCell ref="A7:D7"/>
    <mergeCell ref="E41:F41"/>
    <mergeCell ref="A33:G33"/>
    <mergeCell ref="B38:C38"/>
    <mergeCell ref="E38:F38"/>
    <mergeCell ref="E37:F37"/>
    <mergeCell ref="B37:C37"/>
    <mergeCell ref="Z17:AC17"/>
    <mergeCell ref="P18:T18"/>
    <mergeCell ref="U18:W18"/>
    <mergeCell ref="X18:Y18"/>
    <mergeCell ref="Z18:AC18"/>
    <mergeCell ref="P17:T17"/>
    <mergeCell ref="U17:W17"/>
    <mergeCell ref="X17:Y17"/>
    <mergeCell ref="U23:W23"/>
    <mergeCell ref="X23:Y23"/>
    <mergeCell ref="Z23:AC23"/>
    <mergeCell ref="Z19:AC19"/>
    <mergeCell ref="U19:W19"/>
    <mergeCell ref="U20:W20"/>
    <mergeCell ref="X20:Y20"/>
    <mergeCell ref="Z20:AC20"/>
    <mergeCell ref="X19:Y19"/>
  </mergeCells>
  <phoneticPr fontId="2" type="noConversion"/>
  <pageMargins left="0.39370078740157483" right="0.19685039370078741" top="0.19685039370078741" bottom="0.19685039370078741" header="0" footer="0"/>
  <pageSetup paperSize="9" scale="74"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EB76-5989-472C-A542-BB046937E50C}">
  <dimension ref="A1:M56"/>
  <sheetViews>
    <sheetView showGridLines="0" showZeros="0" view="pageBreakPreview" zoomScaleNormal="75" zoomScaleSheetLayoutView="100" workbookViewId="0">
      <selection activeCell="G8" sqref="G8"/>
    </sheetView>
  </sheetViews>
  <sheetFormatPr defaultColWidth="9.140625" defaultRowHeight="12.75" x14ac:dyDescent="0.2"/>
  <cols>
    <col min="1" max="1" width="10.5703125" style="10" customWidth="1"/>
    <col min="2" max="2" width="10.28515625" style="10" customWidth="1"/>
    <col min="3" max="3" width="51" style="10" customWidth="1"/>
    <col min="4" max="5" width="14.7109375" style="11" customWidth="1"/>
    <col min="6" max="11" width="14.7109375" style="10" customWidth="1"/>
    <col min="12" max="12" width="11.42578125" style="10" customWidth="1"/>
    <col min="13" max="13" width="11.7109375" style="10" customWidth="1"/>
    <col min="14" max="16384" width="9.140625" style="10"/>
  </cols>
  <sheetData>
    <row r="1" spans="1:13" x14ac:dyDescent="0.2">
      <c r="F1" s="247">
        <f>F47</f>
        <v>0.40450828591139348</v>
      </c>
      <c r="G1" s="247">
        <f t="shared" ref="G1:K1" si="0">G47</f>
        <v>0.59549171408860668</v>
      </c>
      <c r="H1" s="247">
        <f t="shared" si="0"/>
        <v>0</v>
      </c>
      <c r="I1" s="247">
        <f t="shared" si="0"/>
        <v>0</v>
      </c>
      <c r="J1" s="247">
        <f t="shared" si="0"/>
        <v>0</v>
      </c>
      <c r="K1" s="247">
        <f t="shared" si="0"/>
        <v>0</v>
      </c>
    </row>
    <row r="2" spans="1:13" ht="54.6" customHeight="1" x14ac:dyDescent="0.2">
      <c r="A2" s="23"/>
      <c r="B2" s="1"/>
      <c r="C2" s="367" t="s">
        <v>73</v>
      </c>
      <c r="D2" s="367"/>
      <c r="E2" s="367"/>
      <c r="F2" s="367"/>
      <c r="G2" s="367"/>
      <c r="H2" s="367"/>
      <c r="I2" s="99"/>
      <c r="J2" s="99"/>
      <c r="K2" s="100"/>
    </row>
    <row r="3" spans="1:13" s="41" customFormat="1" ht="15" customHeight="1" x14ac:dyDescent="0.2">
      <c r="A3" s="334" t="s">
        <v>19</v>
      </c>
      <c r="B3" s="334"/>
      <c r="C3" s="334"/>
      <c r="D3" s="334"/>
      <c r="E3" s="334"/>
      <c r="F3" s="334"/>
      <c r="G3" s="334"/>
      <c r="H3" s="334"/>
      <c r="I3" s="334"/>
      <c r="J3" s="334"/>
      <c r="K3" s="334"/>
    </row>
    <row r="4" spans="1:13" s="41" customFormat="1" ht="15" customHeight="1" x14ac:dyDescent="0.2">
      <c r="A4" s="335" t="s">
        <v>33</v>
      </c>
      <c r="B4" s="336"/>
      <c r="C4" s="337"/>
      <c r="D4" s="335" t="s">
        <v>40</v>
      </c>
      <c r="E4" s="336"/>
      <c r="F4" s="338">
        <f>PLANILHA!H33</f>
        <v>351428.47440000001</v>
      </c>
      <c r="G4" s="338"/>
      <c r="H4" s="231"/>
      <c r="I4" s="334" t="str">
        <f>PLANILHA!F4</f>
        <v>DATA: 30/07/26</v>
      </c>
      <c r="J4" s="334"/>
      <c r="K4" s="334"/>
    </row>
    <row r="5" spans="1:13" s="41" customFormat="1" ht="42" customHeight="1" x14ac:dyDescent="0.2">
      <c r="A5" s="330" t="str">
        <f>PLANILHA!A4</f>
        <v>OBRA: Execução de calçamento tipo bloquete</v>
      </c>
      <c r="B5" s="331"/>
      <c r="C5" s="332"/>
      <c r="D5" s="333" t="str">
        <f>PLANILHA!A5</f>
        <v>LOCAL: Trecho de estrada vicinal na Comunidade de Córrego do Matodentro TRECHO 2, Zona Rural do Município de Santa Cruz do Escalvado (MG)</v>
      </c>
      <c r="E5" s="333"/>
      <c r="F5" s="333"/>
      <c r="G5" s="333"/>
      <c r="H5" s="333"/>
      <c r="I5" s="330" t="str">
        <f>PLANILHA!A7</f>
        <v>PRAZO EXECUÇÃO:  02 (dois) meses</v>
      </c>
      <c r="J5" s="331"/>
      <c r="K5" s="332"/>
    </row>
    <row r="6" spans="1:13" ht="27" customHeight="1" x14ac:dyDescent="0.2">
      <c r="A6" s="24" t="s">
        <v>0</v>
      </c>
      <c r="B6" s="24" t="s">
        <v>3</v>
      </c>
      <c r="C6" s="39" t="s">
        <v>20</v>
      </c>
      <c r="D6" s="40" t="s">
        <v>21</v>
      </c>
      <c r="E6" s="40" t="s">
        <v>22</v>
      </c>
      <c r="F6" s="24" t="s">
        <v>59</v>
      </c>
      <c r="G6" s="24" t="s">
        <v>60</v>
      </c>
      <c r="H6" s="24" t="s">
        <v>61</v>
      </c>
      <c r="I6" s="24" t="s">
        <v>62</v>
      </c>
      <c r="J6" s="24" t="s">
        <v>63</v>
      </c>
      <c r="K6" s="24" t="s">
        <v>64</v>
      </c>
    </row>
    <row r="7" spans="1:13" ht="12" customHeight="1" x14ac:dyDescent="0.2">
      <c r="A7" s="339" t="str">
        <f>PLANILHA!A9</f>
        <v xml:space="preserve"> 1 </v>
      </c>
      <c r="B7" s="341"/>
      <c r="C7" s="343" t="str">
        <f>PLANILHA!C9</f>
        <v>ADMINISTRAÇÃO LOCAL</v>
      </c>
      <c r="D7" s="232" t="s">
        <v>23</v>
      </c>
      <c r="E7" s="233">
        <f>E8/$E$48</f>
        <v>4.6616825878922005E-2</v>
      </c>
      <c r="F7" s="233">
        <v>0.40450000000000003</v>
      </c>
      <c r="G7" s="233">
        <v>0.59550000000000003</v>
      </c>
      <c r="H7" s="233"/>
      <c r="I7" s="234"/>
      <c r="J7" s="233"/>
      <c r="K7" s="233"/>
      <c r="M7" s="102">
        <f t="shared" ref="M7:M34" si="1">SUM(F7:L7)</f>
        <v>1</v>
      </c>
    </row>
    <row r="8" spans="1:13" ht="12" customHeight="1" x14ac:dyDescent="0.2">
      <c r="A8" s="340"/>
      <c r="B8" s="342"/>
      <c r="C8" s="344"/>
      <c r="D8" s="235" t="s">
        <v>24</v>
      </c>
      <c r="E8" s="236">
        <f>PLANILHA!I12</f>
        <v>16382.48</v>
      </c>
      <c r="F8" s="236">
        <f>F7*E8</f>
        <v>6626.7131600000002</v>
      </c>
      <c r="G8" s="236">
        <f>G7*E8</f>
        <v>9755.7668400000002</v>
      </c>
      <c r="H8" s="236">
        <f>H7*E8</f>
        <v>0</v>
      </c>
      <c r="I8" s="236">
        <f>I7*E8</f>
        <v>0</v>
      </c>
      <c r="J8" s="236">
        <f>J7*E8</f>
        <v>0</v>
      </c>
      <c r="K8" s="236">
        <f>K7*E8</f>
        <v>0</v>
      </c>
      <c r="M8" s="77">
        <f t="shared" si="1"/>
        <v>16382.48</v>
      </c>
    </row>
    <row r="9" spans="1:13" ht="12" customHeight="1" x14ac:dyDescent="0.2">
      <c r="A9" s="339">
        <f>PLANILHA!A13</f>
        <v>2</v>
      </c>
      <c r="B9" s="341"/>
      <c r="C9" s="343" t="str">
        <f>PLANILHA!C13</f>
        <v>SERVIÇOS PRELIMINARES</v>
      </c>
      <c r="D9" s="232" t="s">
        <v>23</v>
      </c>
      <c r="E9" s="233">
        <f>E10/$E$48</f>
        <v>2.1492550974691309E-2</v>
      </c>
      <c r="F9" s="233">
        <v>0.6</v>
      </c>
      <c r="G9" s="233">
        <v>0.4</v>
      </c>
      <c r="H9" s="233"/>
      <c r="I9" s="234"/>
      <c r="J9" s="233"/>
      <c r="K9" s="233"/>
      <c r="M9" s="102">
        <f t="shared" si="1"/>
        <v>1</v>
      </c>
    </row>
    <row r="10" spans="1:13" ht="12" customHeight="1" x14ac:dyDescent="0.2">
      <c r="A10" s="340"/>
      <c r="B10" s="342"/>
      <c r="C10" s="344"/>
      <c r="D10" s="235" t="s">
        <v>24</v>
      </c>
      <c r="E10" s="236">
        <f>PLANILHA!I15</f>
        <v>7553.0944</v>
      </c>
      <c r="F10" s="236">
        <f>F9*E10</f>
        <v>4531.85664</v>
      </c>
      <c r="G10" s="236">
        <f>G9*E10</f>
        <v>3021.23776</v>
      </c>
      <c r="H10" s="236">
        <f>H9*E10</f>
        <v>0</v>
      </c>
      <c r="I10" s="236">
        <f>I9*E10</f>
        <v>0</v>
      </c>
      <c r="J10" s="236">
        <f>J9*E10</f>
        <v>0</v>
      </c>
      <c r="K10" s="236">
        <f>K9*E10</f>
        <v>0</v>
      </c>
      <c r="M10" s="77">
        <f t="shared" si="1"/>
        <v>7553.0944</v>
      </c>
    </row>
    <row r="11" spans="1:13" ht="12" customHeight="1" x14ac:dyDescent="0.2">
      <c r="A11" s="339">
        <f>PLANILHA!A16</f>
        <v>3</v>
      </c>
      <c r="B11" s="341"/>
      <c r="C11" s="343" t="str">
        <f>PLANILHA!C16</f>
        <v>CALÇAMENTO TIPO BLOQUETE</v>
      </c>
      <c r="D11" s="232" t="s">
        <v>23</v>
      </c>
      <c r="E11" s="233">
        <f>E12/$E$48</f>
        <v>0.93189062314638671</v>
      </c>
      <c r="F11" s="233">
        <v>0.4</v>
      </c>
      <c r="G11" s="233">
        <v>0.6</v>
      </c>
      <c r="H11" s="233"/>
      <c r="I11" s="234"/>
      <c r="J11" s="233"/>
      <c r="K11" s="233"/>
      <c r="M11" s="102">
        <f t="shared" si="1"/>
        <v>1</v>
      </c>
    </row>
    <row r="12" spans="1:13" ht="12" customHeight="1" x14ac:dyDescent="0.2">
      <c r="A12" s="340"/>
      <c r="B12" s="342"/>
      <c r="C12" s="344"/>
      <c r="D12" s="235" t="s">
        <v>24</v>
      </c>
      <c r="E12" s="236">
        <f>PLANILHA!I32</f>
        <v>327492.90000000002</v>
      </c>
      <c r="F12" s="236">
        <f>F11*E12</f>
        <v>130997.16000000002</v>
      </c>
      <c r="G12" s="236">
        <f>G11*E12</f>
        <v>196495.74000000002</v>
      </c>
      <c r="H12" s="236">
        <f>H11*E12</f>
        <v>0</v>
      </c>
      <c r="I12" s="236">
        <f>I11*E12</f>
        <v>0</v>
      </c>
      <c r="J12" s="236"/>
      <c r="K12" s="236"/>
      <c r="M12" s="77">
        <f t="shared" si="1"/>
        <v>327492.90000000002</v>
      </c>
    </row>
    <row r="13" spans="1:13" ht="12" customHeight="1" x14ac:dyDescent="0.2">
      <c r="A13" s="339"/>
      <c r="B13" s="341"/>
      <c r="C13" s="345"/>
      <c r="D13" s="232" t="s">
        <v>23</v>
      </c>
      <c r="E13" s="233"/>
      <c r="F13" s="233"/>
      <c r="G13" s="233"/>
      <c r="H13" s="233"/>
      <c r="I13" s="234"/>
      <c r="J13" s="233"/>
      <c r="K13" s="233"/>
      <c r="M13" s="102">
        <f t="shared" si="1"/>
        <v>0</v>
      </c>
    </row>
    <row r="14" spans="1:13" ht="12" customHeight="1" x14ac:dyDescent="0.2">
      <c r="A14" s="340"/>
      <c r="B14" s="342"/>
      <c r="C14" s="346"/>
      <c r="D14" s="235" t="s">
        <v>24</v>
      </c>
      <c r="E14" s="236"/>
      <c r="F14" s="236">
        <f>F13*E14</f>
        <v>0</v>
      </c>
      <c r="G14" s="236">
        <f>G13*E14</f>
        <v>0</v>
      </c>
      <c r="H14" s="236"/>
      <c r="I14" s="236"/>
      <c r="J14" s="236"/>
      <c r="K14" s="236"/>
      <c r="M14" s="77">
        <f t="shared" si="1"/>
        <v>0</v>
      </c>
    </row>
    <row r="15" spans="1:13" ht="12" customHeight="1" x14ac:dyDescent="0.2">
      <c r="A15" s="339"/>
      <c r="B15" s="347"/>
      <c r="C15" s="345"/>
      <c r="D15" s="232" t="s">
        <v>23</v>
      </c>
      <c r="E15" s="233"/>
      <c r="F15" s="233"/>
      <c r="G15" s="233"/>
      <c r="H15" s="233"/>
      <c r="I15" s="237"/>
      <c r="J15" s="238"/>
      <c r="K15" s="238"/>
      <c r="M15" s="102">
        <f t="shared" si="1"/>
        <v>0</v>
      </c>
    </row>
    <row r="16" spans="1:13" ht="12" customHeight="1" x14ac:dyDescent="0.2">
      <c r="A16" s="340"/>
      <c r="B16" s="348"/>
      <c r="C16" s="346"/>
      <c r="D16" s="235" t="s">
        <v>24</v>
      </c>
      <c r="E16" s="236"/>
      <c r="F16" s="236">
        <f>F15*E16</f>
        <v>0</v>
      </c>
      <c r="G16" s="236">
        <f>G15*E16</f>
        <v>0</v>
      </c>
      <c r="H16" s="236">
        <f>H15*E16</f>
        <v>0</v>
      </c>
      <c r="I16" s="236"/>
      <c r="J16" s="236"/>
      <c r="K16" s="236"/>
      <c r="M16" s="77">
        <f t="shared" si="1"/>
        <v>0</v>
      </c>
    </row>
    <row r="17" spans="1:13" ht="12" customHeight="1" x14ac:dyDescent="0.2">
      <c r="A17" s="339"/>
      <c r="B17" s="347"/>
      <c r="C17" s="345"/>
      <c r="D17" s="232" t="s">
        <v>23</v>
      </c>
      <c r="E17" s="233"/>
      <c r="F17" s="233"/>
      <c r="G17" s="233"/>
      <c r="H17" s="233"/>
      <c r="I17" s="234"/>
      <c r="J17" s="233"/>
      <c r="K17" s="233"/>
      <c r="M17" s="102">
        <f t="shared" si="1"/>
        <v>0</v>
      </c>
    </row>
    <row r="18" spans="1:13" ht="12" customHeight="1" x14ac:dyDescent="0.2">
      <c r="A18" s="340"/>
      <c r="B18" s="348"/>
      <c r="C18" s="346"/>
      <c r="D18" s="235" t="s">
        <v>24</v>
      </c>
      <c r="E18" s="236"/>
      <c r="F18" s="236"/>
      <c r="G18" s="236"/>
      <c r="H18" s="236"/>
      <c r="I18" s="236"/>
      <c r="J18" s="236"/>
      <c r="K18" s="236"/>
      <c r="M18" s="77">
        <f t="shared" si="1"/>
        <v>0</v>
      </c>
    </row>
    <row r="19" spans="1:13" ht="12" customHeight="1" x14ac:dyDescent="0.2">
      <c r="A19" s="339"/>
      <c r="B19" s="347"/>
      <c r="C19" s="345"/>
      <c r="D19" s="232" t="s">
        <v>23</v>
      </c>
      <c r="E19" s="233"/>
      <c r="F19" s="233"/>
      <c r="G19" s="233"/>
      <c r="H19" s="233"/>
      <c r="I19" s="234"/>
      <c r="J19" s="233"/>
      <c r="K19" s="233"/>
      <c r="L19" s="12"/>
      <c r="M19" s="102">
        <f t="shared" si="1"/>
        <v>0</v>
      </c>
    </row>
    <row r="20" spans="1:13" ht="12" customHeight="1" x14ac:dyDescent="0.2">
      <c r="A20" s="340"/>
      <c r="B20" s="348"/>
      <c r="C20" s="346"/>
      <c r="D20" s="235" t="s">
        <v>24</v>
      </c>
      <c r="E20" s="236"/>
      <c r="F20" s="236"/>
      <c r="G20" s="236">
        <f>G19*E20</f>
        <v>0</v>
      </c>
      <c r="H20" s="236">
        <f>H19*E20</f>
        <v>0</v>
      </c>
      <c r="I20" s="236">
        <f>I19*E20</f>
        <v>0</v>
      </c>
      <c r="J20" s="236"/>
      <c r="K20" s="236"/>
      <c r="M20" s="77">
        <f t="shared" si="1"/>
        <v>0</v>
      </c>
    </row>
    <row r="21" spans="1:13" ht="12" customHeight="1" x14ac:dyDescent="0.2">
      <c r="A21" s="349"/>
      <c r="B21" s="351"/>
      <c r="C21" s="345"/>
      <c r="D21" s="239" t="s">
        <v>23</v>
      </c>
      <c r="E21" s="233"/>
      <c r="F21" s="240"/>
      <c r="G21" s="241"/>
      <c r="H21" s="240"/>
      <c r="I21" s="242"/>
      <c r="J21" s="240"/>
      <c r="K21" s="240"/>
      <c r="M21" s="102">
        <f t="shared" si="1"/>
        <v>0</v>
      </c>
    </row>
    <row r="22" spans="1:13" ht="12" customHeight="1" x14ac:dyDescent="0.2">
      <c r="A22" s="350"/>
      <c r="B22" s="352"/>
      <c r="C22" s="346"/>
      <c r="D22" s="243" t="s">
        <v>24</v>
      </c>
      <c r="E22" s="236"/>
      <c r="F22" s="236"/>
      <c r="G22" s="236">
        <f>G21*E22</f>
        <v>0</v>
      </c>
      <c r="H22" s="236"/>
      <c r="I22" s="236"/>
      <c r="J22" s="236"/>
      <c r="K22" s="236"/>
      <c r="M22" s="77">
        <f t="shared" si="1"/>
        <v>0</v>
      </c>
    </row>
    <row r="23" spans="1:13" ht="12" customHeight="1" x14ac:dyDescent="0.2">
      <c r="A23" s="339"/>
      <c r="B23" s="347"/>
      <c r="C23" s="353"/>
      <c r="D23" s="232" t="s">
        <v>23</v>
      </c>
      <c r="E23" s="233"/>
      <c r="F23" s="233"/>
      <c r="G23" s="233"/>
      <c r="H23" s="238"/>
      <c r="I23" s="237"/>
      <c r="J23" s="238"/>
      <c r="K23" s="238"/>
      <c r="M23" s="102">
        <f t="shared" si="1"/>
        <v>0</v>
      </c>
    </row>
    <row r="24" spans="1:13" ht="12" customHeight="1" x14ac:dyDescent="0.2">
      <c r="A24" s="340"/>
      <c r="B24" s="348"/>
      <c r="C24" s="344"/>
      <c r="D24" s="235" t="s">
        <v>24</v>
      </c>
      <c r="E24" s="236"/>
      <c r="F24" s="236">
        <f>F23*E24</f>
        <v>0</v>
      </c>
      <c r="G24" s="236">
        <f>G23*E24</f>
        <v>0</v>
      </c>
      <c r="H24" s="236"/>
      <c r="I24" s="236"/>
      <c r="J24" s="236"/>
      <c r="K24" s="236"/>
      <c r="M24" s="77">
        <f t="shared" si="1"/>
        <v>0</v>
      </c>
    </row>
    <row r="25" spans="1:13" ht="12" customHeight="1" x14ac:dyDescent="0.2">
      <c r="A25" s="349"/>
      <c r="B25" s="351"/>
      <c r="C25" s="354"/>
      <c r="D25" s="239" t="s">
        <v>23</v>
      </c>
      <c r="E25" s="233"/>
      <c r="F25" s="240"/>
      <c r="G25" s="240"/>
      <c r="H25" s="240"/>
      <c r="I25" s="242"/>
      <c r="J25" s="240"/>
      <c r="K25" s="240"/>
      <c r="M25" s="102">
        <f t="shared" si="1"/>
        <v>0</v>
      </c>
    </row>
    <row r="26" spans="1:13" ht="12" customHeight="1" x14ac:dyDescent="0.2">
      <c r="A26" s="350"/>
      <c r="B26" s="352"/>
      <c r="C26" s="355"/>
      <c r="D26" s="243" t="s">
        <v>24</v>
      </c>
      <c r="E26" s="236"/>
      <c r="F26" s="236"/>
      <c r="G26" s="236"/>
      <c r="H26" s="236"/>
      <c r="I26" s="236"/>
      <c r="J26" s="236"/>
      <c r="K26" s="236"/>
      <c r="M26" s="77">
        <f t="shared" si="1"/>
        <v>0</v>
      </c>
    </row>
    <row r="27" spans="1:13" ht="12" customHeight="1" x14ac:dyDescent="0.2">
      <c r="A27" s="339"/>
      <c r="B27" s="347"/>
      <c r="C27" s="343"/>
      <c r="D27" s="232" t="s">
        <v>23</v>
      </c>
      <c r="E27" s="233"/>
      <c r="F27" s="238"/>
      <c r="G27" s="238"/>
      <c r="H27" s="238"/>
      <c r="I27" s="237"/>
      <c r="J27" s="238"/>
      <c r="K27" s="238"/>
      <c r="M27" s="102">
        <f t="shared" si="1"/>
        <v>0</v>
      </c>
    </row>
    <row r="28" spans="1:13" ht="12" customHeight="1" x14ac:dyDescent="0.2">
      <c r="A28" s="340"/>
      <c r="B28" s="348"/>
      <c r="C28" s="344"/>
      <c r="D28" s="235" t="s">
        <v>24</v>
      </c>
      <c r="E28" s="236"/>
      <c r="F28" s="236"/>
      <c r="G28" s="236"/>
      <c r="H28" s="236"/>
      <c r="I28" s="236"/>
      <c r="J28" s="236"/>
      <c r="K28" s="236"/>
      <c r="M28" s="77">
        <f t="shared" si="1"/>
        <v>0</v>
      </c>
    </row>
    <row r="29" spans="1:13" ht="12" customHeight="1" x14ac:dyDescent="0.2">
      <c r="A29" s="349"/>
      <c r="B29" s="351"/>
      <c r="C29" s="354"/>
      <c r="D29" s="239" t="s">
        <v>23</v>
      </c>
      <c r="E29" s="233"/>
      <c r="F29" s="240"/>
      <c r="G29" s="240"/>
      <c r="H29" s="240"/>
      <c r="I29" s="242"/>
      <c r="J29" s="240"/>
      <c r="K29" s="240"/>
      <c r="M29" s="102">
        <f t="shared" si="1"/>
        <v>0</v>
      </c>
    </row>
    <row r="30" spans="1:13" ht="12" customHeight="1" x14ac:dyDescent="0.2">
      <c r="A30" s="350"/>
      <c r="B30" s="352"/>
      <c r="C30" s="355"/>
      <c r="D30" s="243" t="s">
        <v>24</v>
      </c>
      <c r="E30" s="236"/>
      <c r="F30" s="236"/>
      <c r="G30" s="236"/>
      <c r="H30" s="236"/>
      <c r="I30" s="236"/>
      <c r="J30" s="236"/>
      <c r="K30" s="236"/>
      <c r="M30" s="77">
        <f t="shared" si="1"/>
        <v>0</v>
      </c>
    </row>
    <row r="31" spans="1:13" ht="12" customHeight="1" x14ac:dyDescent="0.2">
      <c r="A31" s="339"/>
      <c r="B31" s="347"/>
      <c r="C31" s="343"/>
      <c r="D31" s="232" t="s">
        <v>23</v>
      </c>
      <c r="E31" s="233"/>
      <c r="F31" s="238"/>
      <c r="G31" s="238"/>
      <c r="H31" s="238"/>
      <c r="I31" s="237"/>
      <c r="J31" s="238"/>
      <c r="K31" s="238"/>
      <c r="M31" s="102">
        <f t="shared" si="1"/>
        <v>0</v>
      </c>
    </row>
    <row r="32" spans="1:13" ht="12" customHeight="1" x14ac:dyDescent="0.2">
      <c r="A32" s="340"/>
      <c r="B32" s="348"/>
      <c r="C32" s="344"/>
      <c r="D32" s="235" t="s">
        <v>24</v>
      </c>
      <c r="E32" s="236"/>
      <c r="F32" s="236"/>
      <c r="G32" s="236"/>
      <c r="H32" s="236"/>
      <c r="I32" s="236"/>
      <c r="J32" s="236"/>
      <c r="K32" s="236"/>
      <c r="M32" s="77">
        <f t="shared" si="1"/>
        <v>0</v>
      </c>
    </row>
    <row r="33" spans="1:13" ht="12" customHeight="1" x14ac:dyDescent="0.2">
      <c r="A33" s="349"/>
      <c r="B33" s="351"/>
      <c r="C33" s="354"/>
      <c r="D33" s="239" t="s">
        <v>23</v>
      </c>
      <c r="E33" s="233"/>
      <c r="F33" s="240"/>
      <c r="G33" s="240"/>
      <c r="H33" s="240"/>
      <c r="I33" s="242"/>
      <c r="J33" s="240"/>
      <c r="K33" s="240"/>
      <c r="M33" s="102">
        <f t="shared" si="1"/>
        <v>0</v>
      </c>
    </row>
    <row r="34" spans="1:13" ht="12" customHeight="1" x14ac:dyDescent="0.2">
      <c r="A34" s="350"/>
      <c r="B34" s="352"/>
      <c r="C34" s="355"/>
      <c r="D34" s="243" t="s">
        <v>24</v>
      </c>
      <c r="E34" s="236"/>
      <c r="F34" s="236"/>
      <c r="G34" s="236"/>
      <c r="H34" s="236"/>
      <c r="I34" s="236"/>
      <c r="J34" s="236"/>
      <c r="K34" s="236"/>
      <c r="M34" s="77">
        <f t="shared" si="1"/>
        <v>0</v>
      </c>
    </row>
    <row r="35" spans="1:13" ht="12" customHeight="1" x14ac:dyDescent="0.2">
      <c r="A35" s="339"/>
      <c r="B35" s="347"/>
      <c r="C35" s="343"/>
      <c r="D35" s="232" t="s">
        <v>23</v>
      </c>
      <c r="E35" s="233"/>
      <c r="F35" s="238"/>
      <c r="G35" s="238"/>
      <c r="H35" s="238"/>
      <c r="I35" s="237"/>
      <c r="J35" s="238"/>
      <c r="K35" s="238"/>
    </row>
    <row r="36" spans="1:13" ht="12" customHeight="1" x14ac:dyDescent="0.2">
      <c r="A36" s="340"/>
      <c r="B36" s="348"/>
      <c r="C36" s="344"/>
      <c r="D36" s="235" t="s">
        <v>24</v>
      </c>
      <c r="E36" s="236"/>
      <c r="F36" s="236"/>
      <c r="G36" s="236"/>
      <c r="H36" s="236"/>
      <c r="I36" s="236"/>
      <c r="J36" s="236"/>
      <c r="K36" s="236"/>
    </row>
    <row r="37" spans="1:13" ht="12" customHeight="1" x14ac:dyDescent="0.2">
      <c r="A37" s="349"/>
      <c r="B37" s="351"/>
      <c r="C37" s="354"/>
      <c r="D37" s="239" t="s">
        <v>23</v>
      </c>
      <c r="E37" s="233"/>
      <c r="F37" s="240"/>
      <c r="G37" s="240"/>
      <c r="H37" s="240"/>
      <c r="I37" s="242"/>
      <c r="J37" s="240"/>
      <c r="K37" s="240"/>
    </row>
    <row r="38" spans="1:13" ht="12" customHeight="1" x14ac:dyDescent="0.2">
      <c r="A38" s="350"/>
      <c r="B38" s="352"/>
      <c r="C38" s="355"/>
      <c r="D38" s="243" t="s">
        <v>24</v>
      </c>
      <c r="E38" s="236"/>
      <c r="F38" s="236"/>
      <c r="G38" s="236"/>
      <c r="H38" s="236"/>
      <c r="I38" s="236"/>
      <c r="J38" s="236"/>
      <c r="K38" s="236"/>
    </row>
    <row r="39" spans="1:13" ht="12" customHeight="1" x14ac:dyDescent="0.2">
      <c r="A39" s="339"/>
      <c r="B39" s="347"/>
      <c r="C39" s="343"/>
      <c r="D39" s="232" t="s">
        <v>23</v>
      </c>
      <c r="E39" s="233"/>
      <c r="F39" s="238"/>
      <c r="G39" s="238"/>
      <c r="H39" s="238"/>
      <c r="I39" s="237"/>
      <c r="J39" s="238"/>
      <c r="K39" s="238"/>
    </row>
    <row r="40" spans="1:13" ht="12" customHeight="1" x14ac:dyDescent="0.2">
      <c r="A40" s="340"/>
      <c r="B40" s="348"/>
      <c r="C40" s="344"/>
      <c r="D40" s="235" t="s">
        <v>24</v>
      </c>
      <c r="E40" s="236"/>
      <c r="F40" s="236"/>
      <c r="G40" s="236"/>
      <c r="H40" s="236"/>
      <c r="I40" s="236"/>
      <c r="J40" s="236"/>
      <c r="K40" s="236"/>
    </row>
    <row r="41" spans="1:13" ht="12" customHeight="1" x14ac:dyDescent="0.2">
      <c r="A41" s="349"/>
      <c r="B41" s="351"/>
      <c r="C41" s="354"/>
      <c r="D41" s="239" t="s">
        <v>23</v>
      </c>
      <c r="E41" s="233"/>
      <c r="F41" s="240"/>
      <c r="G41" s="240"/>
      <c r="H41" s="240"/>
      <c r="I41" s="242"/>
      <c r="J41" s="240"/>
      <c r="K41" s="240"/>
    </row>
    <row r="42" spans="1:13" ht="12" customHeight="1" x14ac:dyDescent="0.2">
      <c r="A42" s="350"/>
      <c r="B42" s="352"/>
      <c r="C42" s="355"/>
      <c r="D42" s="243" t="s">
        <v>24</v>
      </c>
      <c r="E42" s="236"/>
      <c r="F42" s="236"/>
      <c r="G42" s="236"/>
      <c r="H42" s="236"/>
      <c r="I42" s="236"/>
      <c r="J42" s="236"/>
      <c r="K42" s="236"/>
    </row>
    <row r="43" spans="1:13" ht="12" customHeight="1" x14ac:dyDescent="0.2">
      <c r="A43" s="339"/>
      <c r="B43" s="347"/>
      <c r="C43" s="343"/>
      <c r="D43" s="232" t="s">
        <v>23</v>
      </c>
      <c r="E43" s="233"/>
      <c r="F43" s="238"/>
      <c r="G43" s="238"/>
      <c r="H43" s="238"/>
      <c r="I43" s="237"/>
      <c r="J43" s="238"/>
      <c r="K43" s="238"/>
    </row>
    <row r="44" spans="1:13" ht="12" customHeight="1" x14ac:dyDescent="0.2">
      <c r="A44" s="340"/>
      <c r="B44" s="348"/>
      <c r="C44" s="344"/>
      <c r="D44" s="235" t="s">
        <v>24</v>
      </c>
      <c r="E44" s="236"/>
      <c r="F44" s="236"/>
      <c r="G44" s="236"/>
      <c r="H44" s="236"/>
      <c r="I44" s="236"/>
      <c r="J44" s="236"/>
      <c r="K44" s="236"/>
    </row>
    <row r="45" spans="1:13" ht="12" customHeight="1" x14ac:dyDescent="0.2">
      <c r="A45" s="349"/>
      <c r="B45" s="351"/>
      <c r="C45" s="354"/>
      <c r="D45" s="239" t="s">
        <v>23</v>
      </c>
      <c r="E45" s="233"/>
      <c r="F45" s="240"/>
      <c r="G45" s="240"/>
      <c r="H45" s="240"/>
      <c r="I45" s="242"/>
      <c r="J45" s="240"/>
      <c r="K45" s="240"/>
    </row>
    <row r="46" spans="1:13" ht="12" customHeight="1" x14ac:dyDescent="0.2">
      <c r="A46" s="350"/>
      <c r="B46" s="352"/>
      <c r="C46" s="355"/>
      <c r="D46" s="243" t="s">
        <v>24</v>
      </c>
      <c r="E46" s="236"/>
      <c r="F46" s="236"/>
      <c r="G46" s="236"/>
      <c r="H46" s="236"/>
      <c r="I46" s="236"/>
      <c r="J46" s="236"/>
      <c r="K46" s="236"/>
    </row>
    <row r="47" spans="1:13" ht="12" customHeight="1" x14ac:dyDescent="0.2">
      <c r="A47" s="361" t="s">
        <v>25</v>
      </c>
      <c r="B47" s="362"/>
      <c r="C47" s="363"/>
      <c r="D47" s="244" t="s">
        <v>23</v>
      </c>
      <c r="E47" s="233">
        <f>E7+E9+E11+E13+E15+E17+E19+E21+E23+E25+E27+E29+E31+E33+E35+E37+E39+E41+E43+E45</f>
        <v>1</v>
      </c>
      <c r="F47" s="233">
        <f t="shared" ref="F47:K47" si="2">F48/$E$48</f>
        <v>0.40450828591139348</v>
      </c>
      <c r="G47" s="233">
        <f t="shared" si="2"/>
        <v>0.59549171408860668</v>
      </c>
      <c r="H47" s="233">
        <f t="shared" si="2"/>
        <v>0</v>
      </c>
      <c r="I47" s="233">
        <f t="shared" si="2"/>
        <v>0</v>
      </c>
      <c r="J47" s="233">
        <f t="shared" si="2"/>
        <v>0</v>
      </c>
      <c r="K47" s="233">
        <f t="shared" si="2"/>
        <v>0</v>
      </c>
      <c r="L47" s="42">
        <f>F47+G47+H47+I47+J47+K47</f>
        <v>1.0000000000000002</v>
      </c>
    </row>
    <row r="48" spans="1:13" ht="12" customHeight="1" x14ac:dyDescent="0.2">
      <c r="A48" s="364"/>
      <c r="B48" s="365"/>
      <c r="C48" s="366"/>
      <c r="D48" s="245" t="s">
        <v>24</v>
      </c>
      <c r="E48" s="246">
        <f>E8+E10+E12+E14+E16+E18+E20+E22+E24+E26+E28+E30+E32+E34+E36+E38+E40+E42+E44+E46</f>
        <v>351428.47440000001</v>
      </c>
      <c r="F48" s="246">
        <f t="shared" ref="F48:K48" si="3">F8+F10+F12+F14+F16+F18+F20+F22+F24+F26+F28+F30+F32+F34+F36+F38+F40+F42+F44+F46</f>
        <v>142155.72980000003</v>
      </c>
      <c r="G48" s="246">
        <f t="shared" si="3"/>
        <v>209272.74460000003</v>
      </c>
      <c r="H48" s="246">
        <f t="shared" si="3"/>
        <v>0</v>
      </c>
      <c r="I48" s="246">
        <f t="shared" si="3"/>
        <v>0</v>
      </c>
      <c r="J48" s="246">
        <f t="shared" si="3"/>
        <v>0</v>
      </c>
      <c r="K48" s="246">
        <f t="shared" si="3"/>
        <v>0</v>
      </c>
      <c r="L48" s="43">
        <f>F48+G48+H48+I48+J48+K48</f>
        <v>351428.47440000006</v>
      </c>
    </row>
    <row r="49" spans="1:13" ht="6" customHeight="1" x14ac:dyDescent="0.2">
      <c r="A49" s="25"/>
      <c r="B49" s="26"/>
      <c r="C49" s="26"/>
      <c r="D49" s="26"/>
      <c r="E49" s="26"/>
      <c r="F49" s="26"/>
      <c r="G49" s="27"/>
      <c r="H49" s="28"/>
      <c r="I49" s="29"/>
      <c r="J49" s="29"/>
      <c r="K49" s="30"/>
      <c r="M49" s="13" t="s">
        <v>26</v>
      </c>
    </row>
    <row r="50" spans="1:13" ht="40.15" customHeight="1" x14ac:dyDescent="0.2">
      <c r="A50" s="31"/>
      <c r="B50" s="101" t="s">
        <v>16</v>
      </c>
      <c r="C50" s="14"/>
      <c r="D50" s="15"/>
      <c r="E50" s="360" t="s">
        <v>15</v>
      </c>
      <c r="F50" s="360"/>
      <c r="G50" s="16"/>
      <c r="H50" s="17" t="s">
        <v>27</v>
      </c>
      <c r="K50" s="32"/>
    </row>
    <row r="51" spans="1:13" ht="12" customHeight="1" x14ac:dyDescent="0.2">
      <c r="A51" s="17"/>
      <c r="B51" s="356" t="s">
        <v>28</v>
      </c>
      <c r="C51" s="356"/>
      <c r="E51" s="357" t="s">
        <v>7</v>
      </c>
      <c r="F51" s="357"/>
      <c r="G51" s="18"/>
      <c r="H51" s="19"/>
      <c r="K51" s="20"/>
    </row>
    <row r="52" spans="1:13" ht="31.9" customHeight="1" x14ac:dyDescent="0.2">
      <c r="A52" s="33"/>
      <c r="B52" s="358"/>
      <c r="C52" s="358"/>
      <c r="D52" s="21"/>
      <c r="E52" s="21"/>
      <c r="F52" s="22"/>
      <c r="G52" s="20"/>
      <c r="H52" s="19"/>
      <c r="K52" s="20"/>
    </row>
    <row r="53" spans="1:13" ht="12" customHeight="1" x14ac:dyDescent="0.2">
      <c r="A53" s="34"/>
      <c r="B53" s="359" t="s">
        <v>10</v>
      </c>
      <c r="C53" s="359"/>
      <c r="D53" s="35"/>
      <c r="E53" s="35"/>
      <c r="F53" s="36"/>
      <c r="G53" s="37"/>
      <c r="H53" s="38"/>
      <c r="I53" s="36"/>
      <c r="J53" s="36"/>
      <c r="K53" s="37"/>
    </row>
    <row r="54" spans="1:13" ht="12" customHeight="1" x14ac:dyDescent="0.2"/>
    <row r="55" spans="1:13" ht="12" customHeight="1" x14ac:dyDescent="0.2">
      <c r="E55" s="74">
        <f>PLANILHA!H33</f>
        <v>351428.47440000001</v>
      </c>
    </row>
    <row r="56" spans="1:13" ht="12" customHeight="1" x14ac:dyDescent="0.2"/>
  </sheetData>
  <mergeCells count="75">
    <mergeCell ref="C2:H2"/>
    <mergeCell ref="A37:A38"/>
    <mergeCell ref="B37:B38"/>
    <mergeCell ref="C37:C38"/>
    <mergeCell ref="A43:A44"/>
    <mergeCell ref="B43:B44"/>
    <mergeCell ref="C43:C44"/>
    <mergeCell ref="A39:A40"/>
    <mergeCell ref="B39:B40"/>
    <mergeCell ref="C39:C40"/>
    <mergeCell ref="C31:C32"/>
    <mergeCell ref="A33:A34"/>
    <mergeCell ref="B33:B34"/>
    <mergeCell ref="C33:C34"/>
    <mergeCell ref="A35:A36"/>
    <mergeCell ref="B35:B36"/>
    <mergeCell ref="A47:C48"/>
    <mergeCell ref="C45:C46"/>
    <mergeCell ref="A41:A42"/>
    <mergeCell ref="B41:B42"/>
    <mergeCell ref="C41:C42"/>
    <mergeCell ref="B51:C51"/>
    <mergeCell ref="E51:F51"/>
    <mergeCell ref="B52:C52"/>
    <mergeCell ref="B53:C53"/>
    <mergeCell ref="E50:F50"/>
    <mergeCell ref="A27:A28"/>
    <mergeCell ref="B27:B28"/>
    <mergeCell ref="C27:C28"/>
    <mergeCell ref="A45:A46"/>
    <mergeCell ref="B45:B46"/>
    <mergeCell ref="A29:A30"/>
    <mergeCell ref="B29:B30"/>
    <mergeCell ref="C29:C30"/>
    <mergeCell ref="A31:A32"/>
    <mergeCell ref="B31:B32"/>
    <mergeCell ref="C35:C36"/>
    <mergeCell ref="A23:A24"/>
    <mergeCell ref="B23:B24"/>
    <mergeCell ref="C23:C24"/>
    <mergeCell ref="A25:A26"/>
    <mergeCell ref="B25:B26"/>
    <mergeCell ref="C25:C26"/>
    <mergeCell ref="A19:A20"/>
    <mergeCell ref="B19:B20"/>
    <mergeCell ref="C19:C20"/>
    <mergeCell ref="A21:A22"/>
    <mergeCell ref="B21:B22"/>
    <mergeCell ref="C21:C22"/>
    <mergeCell ref="A15:A16"/>
    <mergeCell ref="B15:B16"/>
    <mergeCell ref="C15:C16"/>
    <mergeCell ref="A17:A18"/>
    <mergeCell ref="B17:B18"/>
    <mergeCell ref="C17:C18"/>
    <mergeCell ref="A11:A12"/>
    <mergeCell ref="B11:B12"/>
    <mergeCell ref="C11:C12"/>
    <mergeCell ref="A13:A14"/>
    <mergeCell ref="B13:B14"/>
    <mergeCell ref="C13:C14"/>
    <mergeCell ref="A7:A8"/>
    <mergeCell ref="B7:B8"/>
    <mergeCell ref="C7:C8"/>
    <mergeCell ref="A9:A10"/>
    <mergeCell ref="B9:B10"/>
    <mergeCell ref="C9:C10"/>
    <mergeCell ref="A5:C5"/>
    <mergeCell ref="D5:H5"/>
    <mergeCell ref="I5:K5"/>
    <mergeCell ref="A3:K3"/>
    <mergeCell ref="A4:C4"/>
    <mergeCell ref="D4:E4"/>
    <mergeCell ref="F4:G4"/>
    <mergeCell ref="I4:K4"/>
  </mergeCells>
  <phoneticPr fontId="29" type="noConversion"/>
  <pageMargins left="0.39370078740157483" right="0.19685039370078741" top="0.19685039370078741" bottom="0.19685039370078741" header="0.19685039370078741" footer="0"/>
  <pageSetup paperSize="9" scale="74"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33C77-ECDF-4ED8-83E7-291D8A3E490B}">
  <dimension ref="A1:J44"/>
  <sheetViews>
    <sheetView showGridLines="0" showZeros="0" tabSelected="1" view="pageBreakPreview" zoomScaleNormal="100" zoomScaleSheetLayoutView="100" workbookViewId="0">
      <selection activeCell="J11" sqref="J11"/>
    </sheetView>
  </sheetViews>
  <sheetFormatPr defaultColWidth="9.140625" defaultRowHeight="12.75" x14ac:dyDescent="0.2"/>
  <cols>
    <col min="1" max="1" width="6.42578125" style="83" customWidth="1"/>
    <col min="2" max="2" width="36.7109375" style="83" customWidth="1"/>
    <col min="3" max="3" width="5.7109375" style="93" customWidth="1"/>
    <col min="4" max="4" width="8.5703125" style="94" customWidth="1"/>
    <col min="5" max="5" width="10" style="95" customWidth="1"/>
    <col min="6" max="6" width="13" style="83" customWidth="1"/>
    <col min="7" max="8" width="14.7109375" style="83" customWidth="1"/>
    <col min="9" max="9" width="27.5703125" style="83" customWidth="1"/>
    <col min="10" max="10" width="14.7109375" style="83" customWidth="1"/>
    <col min="11" max="11" width="4.7109375" style="83" customWidth="1"/>
    <col min="12" max="16384" width="9.140625" style="83"/>
  </cols>
  <sheetData>
    <row r="1" spans="1:10" s="81" customFormat="1" ht="54.6" customHeight="1" x14ac:dyDescent="0.2">
      <c r="A1" s="179"/>
      <c r="B1" s="180"/>
      <c r="C1" s="368"/>
      <c r="D1" s="368"/>
      <c r="E1" s="368"/>
      <c r="F1" s="368"/>
      <c r="G1" s="368"/>
      <c r="H1" s="368"/>
      <c r="I1" s="368"/>
      <c r="J1" s="369"/>
    </row>
    <row r="2" spans="1:10" s="82" customFormat="1" ht="13.9" customHeight="1" x14ac:dyDescent="0.2">
      <c r="A2" s="370" t="s">
        <v>33</v>
      </c>
      <c r="B2" s="371"/>
      <c r="C2" s="371"/>
      <c r="D2" s="371"/>
      <c r="E2" s="371"/>
      <c r="F2" s="371"/>
      <c r="G2" s="371"/>
      <c r="H2" s="371"/>
      <c r="I2" s="371"/>
      <c r="J2" s="372"/>
    </row>
    <row r="3" spans="1:10" s="82" customFormat="1" ht="13.9" customHeight="1" x14ac:dyDescent="0.2">
      <c r="A3" s="373" t="str">
        <f>PLANILHA!A4</f>
        <v>OBRA: Execução de calçamento tipo bloquete</v>
      </c>
      <c r="B3" s="374"/>
      <c r="C3" s="374"/>
      <c r="D3" s="374"/>
      <c r="E3" s="374"/>
      <c r="F3" s="374"/>
      <c r="G3" s="374"/>
      <c r="H3" s="374"/>
      <c r="I3" s="374"/>
      <c r="J3" s="375"/>
    </row>
    <row r="4" spans="1:10" s="82" customFormat="1" ht="13.9" customHeight="1" x14ac:dyDescent="0.2">
      <c r="A4" s="377" t="str">
        <f>PLANILHA!A5</f>
        <v>LOCAL: Trecho de estrada vicinal na Comunidade de Córrego do Matodentro TRECHO 2, Zona Rural do Município de Santa Cruz do Escalvado (MG)</v>
      </c>
      <c r="B4" s="378"/>
      <c r="C4" s="378"/>
      <c r="D4" s="378"/>
      <c r="E4" s="378"/>
      <c r="F4" s="378"/>
      <c r="G4" s="378"/>
      <c r="H4" s="378"/>
      <c r="I4" s="378"/>
      <c r="J4" s="103" t="str">
        <f>PLANILHA!F4</f>
        <v>DATA: 30/07/26</v>
      </c>
    </row>
    <row r="5" spans="1:10" ht="13.9" customHeight="1" x14ac:dyDescent="0.2">
      <c r="A5" s="376" t="s">
        <v>187</v>
      </c>
      <c r="B5" s="376"/>
      <c r="C5" s="376"/>
      <c r="D5" s="376"/>
      <c r="E5" s="376"/>
      <c r="F5" s="376"/>
      <c r="G5" s="376"/>
      <c r="H5" s="376"/>
      <c r="I5" s="376"/>
      <c r="J5" s="376"/>
    </row>
    <row r="6" spans="1:10" ht="12.6" customHeight="1" x14ac:dyDescent="0.2">
      <c r="A6" s="169"/>
      <c r="B6" s="160"/>
      <c r="C6" s="160"/>
      <c r="D6" s="160"/>
      <c r="E6" s="160"/>
      <c r="F6" s="161"/>
      <c r="G6" s="161"/>
      <c r="H6" s="161"/>
      <c r="I6" s="161"/>
      <c r="J6" s="170"/>
    </row>
    <row r="7" spans="1:10" ht="12.6" customHeight="1" x14ac:dyDescent="0.2">
      <c r="A7" s="169"/>
      <c r="B7" s="160"/>
      <c r="C7" s="160"/>
      <c r="D7" s="160"/>
      <c r="E7" s="160"/>
      <c r="F7" s="161"/>
      <c r="G7" s="161"/>
      <c r="H7" s="161"/>
      <c r="I7" s="161"/>
      <c r="J7" s="170"/>
    </row>
    <row r="8" spans="1:10" ht="12.6" customHeight="1" x14ac:dyDescent="0.2">
      <c r="A8" s="169"/>
      <c r="B8" s="160"/>
      <c r="C8" s="160"/>
      <c r="D8" s="160"/>
      <c r="E8" s="160"/>
      <c r="F8" s="161"/>
      <c r="G8" s="161"/>
      <c r="H8" s="161"/>
      <c r="I8" s="161"/>
      <c r="J8" s="170"/>
    </row>
    <row r="9" spans="1:10" ht="12.6" customHeight="1" x14ac:dyDescent="0.2">
      <c r="A9" s="169"/>
      <c r="B9" s="160"/>
      <c r="C9" s="160"/>
      <c r="D9" s="160"/>
      <c r="E9" s="160"/>
      <c r="F9" s="161"/>
      <c r="G9" s="161"/>
      <c r="H9" s="161"/>
      <c r="I9" s="161"/>
      <c r="J9" s="170"/>
    </row>
    <row r="10" spans="1:10" ht="12.6" customHeight="1" x14ac:dyDescent="0.2">
      <c r="A10" s="169"/>
      <c r="B10" s="160"/>
      <c r="C10" s="160"/>
      <c r="D10" s="160"/>
      <c r="E10" s="160"/>
      <c r="F10" s="161"/>
      <c r="G10" s="161"/>
      <c r="H10" s="161"/>
      <c r="I10" s="161"/>
      <c r="J10" s="170"/>
    </row>
    <row r="11" spans="1:10" ht="12.6" customHeight="1" x14ac:dyDescent="0.2">
      <c r="A11" s="169"/>
      <c r="B11" s="160"/>
      <c r="C11" s="160"/>
      <c r="D11" s="160"/>
      <c r="E11" s="160"/>
      <c r="F11" s="161"/>
      <c r="G11" s="161"/>
      <c r="H11" s="161"/>
      <c r="I11" s="161"/>
      <c r="J11" s="170"/>
    </row>
    <row r="12" spans="1:10" ht="12.6" customHeight="1" x14ac:dyDescent="0.2">
      <c r="A12" s="169"/>
      <c r="B12" s="160"/>
      <c r="C12" s="160"/>
      <c r="D12" s="160"/>
      <c r="E12" s="160"/>
      <c r="F12" s="161"/>
      <c r="G12" s="161"/>
      <c r="H12" s="161"/>
      <c r="I12" s="161"/>
      <c r="J12" s="170"/>
    </row>
    <row r="13" spans="1:10" ht="12.6" customHeight="1" x14ac:dyDescent="0.2">
      <c r="A13" s="169"/>
      <c r="B13" s="160"/>
      <c r="C13" s="160"/>
      <c r="D13" s="160"/>
      <c r="E13" s="160"/>
      <c r="F13" s="161"/>
      <c r="G13" s="161"/>
      <c r="H13" s="161"/>
      <c r="I13" s="161"/>
      <c r="J13" s="170"/>
    </row>
    <row r="14" spans="1:10" ht="12.6" customHeight="1" x14ac:dyDescent="0.2">
      <c r="A14" s="169"/>
      <c r="B14" s="160"/>
      <c r="C14" s="160"/>
      <c r="D14" s="160"/>
      <c r="E14" s="160"/>
      <c r="F14" s="161"/>
      <c r="G14" s="161"/>
      <c r="H14" s="161"/>
      <c r="I14" s="161"/>
      <c r="J14" s="170"/>
    </row>
    <row r="15" spans="1:10" ht="12.6" customHeight="1" x14ac:dyDescent="0.2">
      <c r="A15" s="169"/>
      <c r="B15" s="160"/>
      <c r="C15" s="160"/>
      <c r="D15" s="160"/>
      <c r="E15" s="160"/>
      <c r="F15" s="161"/>
      <c r="G15" s="161"/>
      <c r="H15" s="161"/>
      <c r="I15" s="161"/>
      <c r="J15" s="170"/>
    </row>
    <row r="16" spans="1:10" ht="12.6" customHeight="1" x14ac:dyDescent="0.2">
      <c r="A16" s="169"/>
      <c r="B16" s="160"/>
      <c r="C16" s="160"/>
      <c r="D16" s="160"/>
      <c r="E16" s="160"/>
      <c r="F16" s="161"/>
      <c r="G16" s="161"/>
      <c r="H16" s="161"/>
      <c r="I16" s="161"/>
      <c r="J16" s="170"/>
    </row>
    <row r="17" spans="1:10" ht="12.6" customHeight="1" x14ac:dyDescent="0.2">
      <c r="A17" s="169"/>
      <c r="B17" s="160"/>
      <c r="C17" s="160"/>
      <c r="D17" s="160"/>
      <c r="E17" s="160"/>
      <c r="F17" s="161"/>
      <c r="G17" s="161"/>
      <c r="H17" s="161"/>
      <c r="I17" s="161"/>
      <c r="J17" s="170"/>
    </row>
    <row r="18" spans="1:10" ht="12.6" customHeight="1" x14ac:dyDescent="0.2">
      <c r="A18" s="169"/>
      <c r="B18" s="160"/>
      <c r="C18" s="160"/>
      <c r="D18" s="160"/>
      <c r="E18" s="160"/>
      <c r="F18" s="161"/>
      <c r="G18" s="161"/>
      <c r="H18" s="161"/>
      <c r="I18" s="161"/>
      <c r="J18" s="170"/>
    </row>
    <row r="19" spans="1:10" ht="12.6" customHeight="1" x14ac:dyDescent="0.2">
      <c r="A19" s="169"/>
      <c r="B19" s="160"/>
      <c r="C19" s="160"/>
      <c r="D19" s="160"/>
      <c r="E19" s="160"/>
      <c r="F19" s="161"/>
      <c r="G19" s="161"/>
      <c r="H19" s="161"/>
      <c r="I19" s="161"/>
      <c r="J19" s="170"/>
    </row>
    <row r="20" spans="1:10" ht="12.6" customHeight="1" x14ac:dyDescent="0.2">
      <c r="A20" s="169"/>
      <c r="B20" s="160"/>
      <c r="C20" s="160"/>
      <c r="D20" s="160"/>
      <c r="E20" s="160"/>
      <c r="F20" s="161"/>
      <c r="G20" s="161"/>
      <c r="H20" s="161"/>
      <c r="I20" s="161"/>
      <c r="J20" s="170"/>
    </row>
    <row r="21" spans="1:10" ht="12.6" customHeight="1" x14ac:dyDescent="0.2">
      <c r="A21" s="169" t="s">
        <v>162</v>
      </c>
      <c r="C21" s="160"/>
      <c r="D21" s="160"/>
      <c r="E21" s="160"/>
      <c r="F21" s="161"/>
      <c r="G21" s="161"/>
      <c r="H21" s="161"/>
      <c r="I21" s="161"/>
      <c r="J21" s="170"/>
    </row>
    <row r="22" spans="1:10" ht="12.6" customHeight="1" x14ac:dyDescent="0.2">
      <c r="A22" s="169"/>
      <c r="B22" s="160"/>
      <c r="C22" s="160"/>
      <c r="D22" s="160"/>
      <c r="E22" s="160"/>
      <c r="F22" s="161"/>
      <c r="G22" s="161"/>
      <c r="H22" s="161"/>
      <c r="I22" s="161"/>
      <c r="J22" s="170"/>
    </row>
    <row r="23" spans="1:10" ht="12.6" customHeight="1" x14ac:dyDescent="0.2">
      <c r="A23" s="169"/>
      <c r="B23" s="160"/>
      <c r="C23" s="160"/>
      <c r="D23" s="160"/>
      <c r="E23" s="160"/>
      <c r="F23" s="161"/>
      <c r="G23" s="161"/>
      <c r="H23" s="161"/>
      <c r="I23" s="161"/>
      <c r="J23" s="170"/>
    </row>
    <row r="24" spans="1:10" ht="12.6" customHeight="1" x14ac:dyDescent="0.2">
      <c r="A24" s="169"/>
      <c r="B24" s="160"/>
      <c r="C24" s="160"/>
      <c r="D24" s="160"/>
      <c r="E24" s="160"/>
      <c r="F24" s="161"/>
      <c r="G24" s="161"/>
      <c r="H24" s="161"/>
      <c r="I24" s="161"/>
      <c r="J24" s="170"/>
    </row>
    <row r="25" spans="1:10" ht="12.6" customHeight="1" x14ac:dyDescent="0.2">
      <c r="A25" s="169"/>
      <c r="B25" s="160"/>
      <c r="C25" s="160"/>
      <c r="D25" s="160"/>
      <c r="E25" s="160"/>
      <c r="F25" s="161"/>
      <c r="G25" s="161"/>
      <c r="H25" s="161"/>
      <c r="I25" s="161"/>
      <c r="J25" s="170"/>
    </row>
    <row r="26" spans="1:10" ht="12.6" customHeight="1" x14ac:dyDescent="0.2">
      <c r="A26" s="169"/>
      <c r="B26" s="160"/>
      <c r="C26" s="160"/>
      <c r="D26" s="160"/>
      <c r="E26" s="160"/>
      <c r="F26" s="161"/>
      <c r="G26" s="161"/>
      <c r="H26" s="161"/>
      <c r="I26" s="161"/>
      <c r="J26" s="170"/>
    </row>
    <row r="27" spans="1:10" ht="12.6" customHeight="1" x14ac:dyDescent="0.2">
      <c r="A27" s="169"/>
      <c r="B27" s="160"/>
      <c r="C27" s="160"/>
      <c r="D27" s="160"/>
      <c r="E27" s="160"/>
      <c r="F27" s="161"/>
      <c r="G27" s="161"/>
      <c r="H27" s="161"/>
      <c r="I27" s="161"/>
      <c r="J27" s="170"/>
    </row>
    <row r="28" spans="1:10" ht="12.6" customHeight="1" x14ac:dyDescent="0.2">
      <c r="A28" s="169"/>
      <c r="B28" s="160"/>
      <c r="C28" s="160"/>
      <c r="D28" s="160"/>
      <c r="E28" s="160"/>
      <c r="F28" s="161"/>
      <c r="G28" s="161"/>
      <c r="H28" s="161"/>
      <c r="I28" s="161"/>
      <c r="J28" s="170"/>
    </row>
    <row r="29" spans="1:10" ht="12.6" customHeight="1" x14ac:dyDescent="0.2">
      <c r="A29" s="169"/>
      <c r="B29" s="160"/>
      <c r="C29" s="160"/>
      <c r="D29" s="160"/>
      <c r="E29" s="160"/>
      <c r="F29" s="161"/>
      <c r="G29" s="161"/>
      <c r="H29" s="161"/>
      <c r="I29" s="161"/>
      <c r="J29" s="170"/>
    </row>
    <row r="30" spans="1:10" ht="12.6" customHeight="1" x14ac:dyDescent="0.2">
      <c r="A30" s="169"/>
      <c r="B30" s="160"/>
      <c r="C30" s="160"/>
      <c r="D30" s="160"/>
      <c r="E30" s="160"/>
      <c r="F30" s="161"/>
      <c r="G30" s="161"/>
      <c r="H30" s="161"/>
      <c r="I30" s="161"/>
      <c r="J30" s="170"/>
    </row>
    <row r="31" spans="1:10" ht="12.6" customHeight="1" x14ac:dyDescent="0.2">
      <c r="A31" s="169"/>
      <c r="B31" s="160"/>
      <c r="C31" s="160"/>
      <c r="D31" s="160"/>
      <c r="E31" s="160"/>
      <c r="F31" s="161"/>
      <c r="G31" s="161"/>
      <c r="H31" s="161"/>
      <c r="I31" s="161"/>
      <c r="J31" s="170"/>
    </row>
    <row r="32" spans="1:10" ht="12.6" customHeight="1" x14ac:dyDescent="0.2">
      <c r="A32" s="169"/>
      <c r="B32" s="160"/>
      <c r="C32" s="160"/>
      <c r="D32" s="160"/>
      <c r="E32" s="160"/>
      <c r="F32" s="161"/>
      <c r="G32" s="161"/>
      <c r="H32" s="161"/>
      <c r="I32" s="161"/>
      <c r="J32" s="170"/>
    </row>
    <row r="33" spans="1:10" ht="12.6" customHeight="1" x14ac:dyDescent="0.2">
      <c r="A33" s="169"/>
      <c r="B33" s="160"/>
      <c r="C33" s="160"/>
      <c r="D33" s="160"/>
      <c r="E33" s="160"/>
      <c r="F33" s="161"/>
      <c r="G33" s="161"/>
      <c r="H33" s="161"/>
      <c r="I33" s="161"/>
      <c r="J33" s="170"/>
    </row>
    <row r="34" spans="1:10" ht="12.6" customHeight="1" x14ac:dyDescent="0.2">
      <c r="A34" s="169"/>
      <c r="B34" s="160"/>
      <c r="C34" s="160"/>
      <c r="D34" s="160"/>
      <c r="G34" s="161"/>
      <c r="H34" s="160"/>
      <c r="J34" s="170"/>
    </row>
    <row r="35" spans="1:10" ht="12.6" customHeight="1" x14ac:dyDescent="0.2">
      <c r="A35" s="169"/>
      <c r="B35" s="160"/>
      <c r="C35" s="160"/>
      <c r="D35" s="160"/>
      <c r="E35" s="160"/>
      <c r="F35" s="161"/>
      <c r="G35" s="161"/>
      <c r="H35" s="161"/>
      <c r="I35" s="161"/>
      <c r="J35" s="170"/>
    </row>
    <row r="36" spans="1:10" ht="12.6" customHeight="1" x14ac:dyDescent="0.2">
      <c r="A36" s="169"/>
      <c r="B36" s="160"/>
      <c r="C36" s="160"/>
      <c r="D36" s="160"/>
      <c r="E36" s="160"/>
      <c r="F36" s="161"/>
      <c r="G36" s="161"/>
      <c r="H36" s="161"/>
      <c r="I36" s="161"/>
      <c r="J36" s="170"/>
    </row>
    <row r="37" spans="1:10" ht="12.6" customHeight="1" x14ac:dyDescent="0.2">
      <c r="A37" s="169"/>
      <c r="C37" s="160"/>
      <c r="D37" s="160"/>
      <c r="E37" s="160"/>
      <c r="F37" s="161"/>
      <c r="G37" s="161"/>
      <c r="H37" s="161"/>
      <c r="I37" s="161"/>
      <c r="J37" s="170"/>
    </row>
    <row r="38" spans="1:10" ht="12.6" customHeight="1" x14ac:dyDescent="0.2">
      <c r="A38" s="169"/>
      <c r="B38" s="160"/>
      <c r="C38" s="160"/>
      <c r="D38" s="160"/>
      <c r="E38" s="160"/>
      <c r="F38" s="161"/>
      <c r="G38" s="161"/>
      <c r="H38" s="161"/>
      <c r="I38" s="161"/>
      <c r="J38" s="170"/>
    </row>
    <row r="39" spans="1:10" ht="12.6" customHeight="1" x14ac:dyDescent="0.2">
      <c r="A39" s="169"/>
      <c r="B39" s="160"/>
      <c r="C39" s="160"/>
      <c r="D39" s="160"/>
      <c r="E39" s="160"/>
      <c r="F39" s="161"/>
      <c r="G39" s="161"/>
      <c r="H39" s="161"/>
      <c r="I39" s="161"/>
      <c r="J39" s="170"/>
    </row>
    <row r="40" spans="1:10" ht="12.6" customHeight="1" x14ac:dyDescent="0.2">
      <c r="A40" s="169"/>
      <c r="B40" s="160"/>
      <c r="C40" s="160"/>
      <c r="D40" s="160"/>
      <c r="E40" s="160"/>
      <c r="F40" s="161"/>
      <c r="G40" s="161"/>
      <c r="H40" s="161"/>
      <c r="I40" s="161"/>
      <c r="J40" s="170"/>
    </row>
    <row r="41" spans="1:10" s="82" customFormat="1" ht="13.15" customHeight="1" x14ac:dyDescent="0.2">
      <c r="A41" s="84"/>
      <c r="B41" s="162"/>
      <c r="C41" s="163"/>
      <c r="D41" s="164"/>
      <c r="E41" s="162"/>
      <c r="F41" s="163"/>
      <c r="G41" s="164"/>
      <c r="H41" s="164"/>
      <c r="I41" s="164"/>
      <c r="J41" s="85"/>
    </row>
    <row r="42" spans="1:10" s="82" customFormat="1" x14ac:dyDescent="0.2">
      <c r="A42" s="86"/>
      <c r="B42" s="165"/>
      <c r="C42" s="166" t="s">
        <v>38</v>
      </c>
      <c r="D42" s="165"/>
      <c r="E42" s="165"/>
      <c r="F42" s="167"/>
      <c r="G42" s="165"/>
      <c r="H42" s="166"/>
      <c r="I42" s="165"/>
      <c r="J42" s="85"/>
    </row>
    <row r="43" spans="1:10" s="82" customFormat="1" x14ac:dyDescent="0.2">
      <c r="A43" s="86"/>
      <c r="B43" s="165"/>
      <c r="C43" s="168" t="s">
        <v>65</v>
      </c>
      <c r="D43" s="165"/>
      <c r="E43" s="165"/>
      <c r="F43" s="167"/>
      <c r="G43" s="165"/>
      <c r="H43" s="168"/>
      <c r="I43" s="165"/>
      <c r="J43" s="85"/>
    </row>
    <row r="44" spans="1:10" s="82" customFormat="1" x14ac:dyDescent="0.2">
      <c r="A44" s="87"/>
      <c r="B44" s="88"/>
      <c r="C44" s="89" t="s">
        <v>66</v>
      </c>
      <c r="D44" s="88"/>
      <c r="E44" s="88"/>
      <c r="F44" s="90"/>
      <c r="G44" s="88"/>
      <c r="H44" s="91"/>
      <c r="I44" s="88"/>
      <c r="J44" s="92"/>
    </row>
  </sheetData>
  <dataConsolidate topLabels="1" link="1"/>
  <mergeCells count="5">
    <mergeCell ref="C1:J1"/>
    <mergeCell ref="A2:J2"/>
    <mergeCell ref="A3:J3"/>
    <mergeCell ref="A5:J5"/>
    <mergeCell ref="A4:I4"/>
  </mergeCells>
  <pageMargins left="0.39370078740157483" right="0.19685039370078741" top="0.19685039370078741" bottom="0.19685039370078741" header="0" footer="0"/>
  <pageSetup paperSize="9" scale="9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191F6-BA5E-4F20-B256-9F96F36E68D1}">
  <sheetPr>
    <pageSetUpPr fitToPage="1"/>
  </sheetPr>
  <dimension ref="A1:M81"/>
  <sheetViews>
    <sheetView showGridLines="0" view="pageBreakPreview" topLeftCell="A2" zoomScaleNormal="100" zoomScaleSheetLayoutView="100" workbookViewId="0">
      <selection activeCell="B7" sqref="B7:E7"/>
    </sheetView>
  </sheetViews>
  <sheetFormatPr defaultColWidth="9.140625" defaultRowHeight="12.75" x14ac:dyDescent="0.2"/>
  <cols>
    <col min="1" max="1" width="36.28515625" style="113" customWidth="1"/>
    <col min="2" max="2" width="15.28515625" style="113" bestFit="1" customWidth="1"/>
    <col min="3" max="3" width="14.5703125" style="113" customWidth="1"/>
    <col min="4" max="4" width="15.42578125" style="113" customWidth="1"/>
    <col min="5" max="5" width="18.42578125" style="113" bestFit="1" customWidth="1"/>
    <col min="6" max="6" width="9" style="113" bestFit="1" customWidth="1"/>
    <col min="7" max="7" width="11" style="113" customWidth="1"/>
    <col min="8" max="16384" width="9.140625" style="113"/>
  </cols>
  <sheetData>
    <row r="1" spans="1:11" s="104" customFormat="1" ht="56.25" customHeight="1" x14ac:dyDescent="0.2">
      <c r="A1" s="380"/>
      <c r="B1" s="380"/>
      <c r="C1" s="380"/>
      <c r="D1" s="380"/>
      <c r="E1" s="380"/>
    </row>
    <row r="2" spans="1:11" s="104" customFormat="1" ht="15.75" x14ac:dyDescent="0.2">
      <c r="A2" s="105"/>
      <c r="B2" s="105"/>
      <c r="C2" s="105"/>
      <c r="D2" s="105"/>
      <c r="E2" s="105"/>
    </row>
    <row r="3" spans="1:11" s="107" customFormat="1" ht="15.75" x14ac:dyDescent="0.2">
      <c r="A3" s="381" t="s">
        <v>98</v>
      </c>
      <c r="B3" s="381"/>
      <c r="C3" s="381"/>
      <c r="D3" s="381"/>
      <c r="E3" s="381"/>
    </row>
    <row r="4" spans="1:11" s="107" customFormat="1" ht="9" customHeight="1" x14ac:dyDescent="0.2">
      <c r="A4" s="106"/>
      <c r="B4" s="106"/>
      <c r="C4" s="106"/>
      <c r="D4" s="106"/>
      <c r="E4" s="106"/>
    </row>
    <row r="5" spans="1:11" s="110" customFormat="1" ht="15.75" customHeight="1" x14ac:dyDescent="0.2">
      <c r="A5" s="108" t="s">
        <v>99</v>
      </c>
      <c r="B5" s="382"/>
      <c r="C5" s="382"/>
      <c r="D5" s="382"/>
      <c r="E5" s="382"/>
      <c r="F5" s="109"/>
      <c r="G5" s="109"/>
      <c r="H5" s="109"/>
      <c r="I5" s="109"/>
      <c r="J5" s="109"/>
      <c r="K5" s="109"/>
    </row>
    <row r="6" spans="1:11" s="110" customFormat="1" ht="15.75" customHeight="1" x14ac:dyDescent="0.2">
      <c r="A6" s="108" t="s">
        <v>100</v>
      </c>
      <c r="B6" s="382"/>
      <c r="C6" s="382"/>
      <c r="D6" s="382"/>
      <c r="E6" s="382"/>
      <c r="F6" s="109"/>
      <c r="G6" s="109"/>
      <c r="H6" s="109"/>
      <c r="I6" s="109"/>
      <c r="J6" s="109"/>
      <c r="K6" s="109"/>
    </row>
    <row r="7" spans="1:11" s="110" customFormat="1" ht="76.5" customHeight="1" x14ac:dyDescent="0.2">
      <c r="A7" s="108" t="s">
        <v>101</v>
      </c>
      <c r="B7" s="382"/>
      <c r="C7" s="382"/>
      <c r="D7" s="382"/>
      <c r="E7" s="382"/>
      <c r="F7" s="109"/>
      <c r="G7" s="109"/>
      <c r="H7" s="109"/>
      <c r="I7" s="109"/>
      <c r="J7" s="109"/>
      <c r="K7" s="109"/>
    </row>
    <row r="8" spans="1:11" s="110" customFormat="1" ht="33" customHeight="1" x14ac:dyDescent="0.2">
      <c r="A8" s="108" t="s">
        <v>102</v>
      </c>
      <c r="B8" s="382" t="s">
        <v>103</v>
      </c>
      <c r="C8" s="382"/>
      <c r="D8" s="382"/>
      <c r="E8" s="382"/>
      <c r="F8" s="109" t="str">
        <f>IF(B8&lt;&gt;"","OK","PREENCHER")</f>
        <v>OK</v>
      </c>
      <c r="G8" s="109"/>
      <c r="H8" s="109"/>
      <c r="I8" s="109"/>
      <c r="J8" s="109"/>
      <c r="K8" s="109"/>
    </row>
    <row r="9" spans="1:11" s="110" customFormat="1" ht="33" customHeight="1" x14ac:dyDescent="0.2">
      <c r="A9" s="108" t="s">
        <v>104</v>
      </c>
      <c r="B9" s="383">
        <v>0.6</v>
      </c>
      <c r="C9" s="383"/>
      <c r="D9" s="383"/>
      <c r="E9" s="383"/>
      <c r="F9" s="109" t="str">
        <f>IF(B9&lt;&gt;"","OK","PREENCHER")</f>
        <v>OK</v>
      </c>
      <c r="G9" s="111"/>
      <c r="H9" s="109"/>
      <c r="I9" s="109"/>
      <c r="J9" s="109"/>
      <c r="K9" s="109"/>
    </row>
    <row r="10" spans="1:11" s="110" customFormat="1" ht="19.5" customHeight="1" x14ac:dyDescent="0.2">
      <c r="A10" s="108" t="s">
        <v>105</v>
      </c>
      <c r="B10" s="382" t="s">
        <v>106</v>
      </c>
      <c r="C10" s="382"/>
      <c r="D10" s="382"/>
      <c r="E10" s="382"/>
      <c r="F10" s="109" t="str">
        <f>IF(B10&lt;&gt;"","OK","PREENCHER")</f>
        <v>OK</v>
      </c>
      <c r="G10" s="109"/>
      <c r="H10" s="109"/>
      <c r="I10" s="109"/>
      <c r="J10" s="109"/>
      <c r="K10" s="109"/>
    </row>
    <row r="11" spans="1:11" s="110" customFormat="1" ht="9" thickBot="1" x14ac:dyDescent="0.25">
      <c r="F11" s="109"/>
      <c r="G11" s="109"/>
      <c r="H11" s="109"/>
      <c r="I11" s="109"/>
      <c r="J11" s="109"/>
      <c r="K11" s="109"/>
    </row>
    <row r="12" spans="1:11" ht="19.5" customHeight="1" x14ac:dyDescent="0.2">
      <c r="A12" s="384" t="s">
        <v>1</v>
      </c>
      <c r="B12" s="386" t="s">
        <v>107</v>
      </c>
      <c r="C12" s="387"/>
      <c r="D12" s="388"/>
      <c r="E12" s="389" t="s">
        <v>108</v>
      </c>
      <c r="F12" s="112"/>
      <c r="G12" s="112"/>
      <c r="H12" s="112"/>
      <c r="I12" s="112"/>
      <c r="J12" s="112"/>
      <c r="K12" s="112"/>
    </row>
    <row r="13" spans="1:11" ht="36" customHeight="1" thickBot="1" x14ac:dyDescent="0.25">
      <c r="A13" s="385"/>
      <c r="B13" s="114" t="s">
        <v>109</v>
      </c>
      <c r="C13" s="114" t="s">
        <v>110</v>
      </c>
      <c r="D13" s="115" t="s">
        <v>111</v>
      </c>
      <c r="E13" s="390"/>
      <c r="F13" s="112"/>
      <c r="G13" s="112"/>
      <c r="H13" s="112"/>
      <c r="I13" s="112"/>
      <c r="J13" s="112"/>
      <c r="K13" s="112"/>
    </row>
    <row r="14" spans="1:11" ht="15.75" x14ac:dyDescent="0.2">
      <c r="A14" s="116" t="s">
        <v>112</v>
      </c>
      <c r="B14" s="117">
        <f>IF(ISERROR(VLOOKUP($B$8,'[1]Base dados - TCU 2622_2013'!$A$7:$V$14,2,)),"",VLOOKUP($B$8,'[1]Base dados - TCU 2622_2013'!$A$7:$V$14,2,))</f>
        <v>3.8</v>
      </c>
      <c r="C14" s="117">
        <f>IF(ISERROR(VLOOKUP($B$8,'[1]Base dados - TCU 2622_2013'!$A$7:$V$14,3,)),"",VLOOKUP($B$8,'[1]Base dados - TCU 2622_2013'!$A$7:$V$14,3,))</f>
        <v>4.01</v>
      </c>
      <c r="D14" s="117">
        <f>IF(ISERROR(VLOOKUP($B$8,'[1]Base dados - TCU 2622_2013'!$A$7:$V$14,4,)),"",VLOOKUP($B$8,'[1]Base dados - TCU 2622_2013'!$A$7:$V$14,4,))</f>
        <v>4.67</v>
      </c>
      <c r="E14" s="118">
        <v>4.01</v>
      </c>
      <c r="F14" s="109" t="str">
        <f>IF(AND(E14&gt;=B14,E14&lt;=D14),"OK","PREENCHER")</f>
        <v>OK</v>
      </c>
      <c r="G14" s="119"/>
      <c r="H14" s="112"/>
      <c r="I14" s="112"/>
      <c r="J14" s="112"/>
      <c r="K14" s="112"/>
    </row>
    <row r="15" spans="1:11" ht="15.75" x14ac:dyDescent="0.2">
      <c r="A15" s="120" t="s">
        <v>113</v>
      </c>
      <c r="B15" s="117">
        <f>IF(ISERROR(VLOOKUP($B$8,'[1]Base dados - TCU 2622_2013'!$A$7:$V$14,5,)),"",VLOOKUP($B$8,'[1]Base dados - TCU 2622_2013'!$A$7:$V$14,5,))</f>
        <v>0.32</v>
      </c>
      <c r="C15" s="117">
        <f>IF(ISERROR(VLOOKUP($B$8,'[1]Base dados - TCU 2622_2013'!$A$7:$V$14,6,)),"",VLOOKUP($B$8,'[1]Base dados - TCU 2622_2013'!$A$7:$V$14,6,))</f>
        <v>0.4</v>
      </c>
      <c r="D15" s="117">
        <f>IF(ISERROR(VLOOKUP($B$8,'[1]Base dados - TCU 2622_2013'!$A$7:$V$14,7,)),"",VLOOKUP($B$8,'[1]Base dados - TCU 2622_2013'!$A$7:$V$14,7,))</f>
        <v>0.74</v>
      </c>
      <c r="E15" s="121">
        <v>0.4</v>
      </c>
      <c r="F15" s="109" t="str">
        <f t="shared" ref="F15:F22" si="0">IF(AND(E15&gt;=B15,E15&lt;=D15),"OK","PREENCHER")</f>
        <v>OK</v>
      </c>
      <c r="G15" s="122"/>
      <c r="H15" s="112"/>
      <c r="I15" s="112"/>
      <c r="J15" s="112"/>
      <c r="K15" s="112"/>
    </row>
    <row r="16" spans="1:11" ht="15.75" x14ac:dyDescent="0.2">
      <c r="A16" s="120" t="s">
        <v>114</v>
      </c>
      <c r="B16" s="117">
        <f>IF(ISERROR(VLOOKUP($B$8,'[1]Base dados - TCU 2622_2013'!$A$7:$V$14,8,)),"",VLOOKUP($B$8,'[1]Base dados - TCU 2622_2013'!$A$7:$V$14,8,))</f>
        <v>0.5</v>
      </c>
      <c r="C16" s="117">
        <f>IF(ISERROR(VLOOKUP($B$8,'[1]Base dados - TCU 2622_2013'!$A$7:$V$14,6,)),"",VLOOKUP($B$8,'[1]Base dados - TCU 2622_2013'!$A$7:$V$14,9,))</f>
        <v>0.56000000000000005</v>
      </c>
      <c r="D16" s="117">
        <f>IF(ISERROR(VLOOKUP($B$8,'[1]Base dados - TCU 2622_2013'!$A$7:$V$14,7,)),"",VLOOKUP($B$8,'[1]Base dados - TCU 2622_2013'!$A$7:$V$14,10,))</f>
        <v>0.97</v>
      </c>
      <c r="E16" s="121">
        <v>0.56000000000000005</v>
      </c>
      <c r="F16" s="109" t="str">
        <f t="shared" si="0"/>
        <v>OK</v>
      </c>
      <c r="G16" s="122"/>
      <c r="H16" s="112"/>
      <c r="I16" s="112"/>
      <c r="J16" s="112"/>
      <c r="K16" s="112"/>
    </row>
    <row r="17" spans="1:13" ht="15.75" x14ac:dyDescent="0.2">
      <c r="A17" s="116" t="s">
        <v>115</v>
      </c>
      <c r="B17" s="117">
        <f>IF(ISERROR(VLOOKUP($B$8,'[1]Base dados - TCU 2622_2013'!$A$7:$V$14,11,)),"",VLOOKUP($B$8,'[1]Base dados - TCU 2622_2013'!$A$7:$V$14,11,))</f>
        <v>1.02</v>
      </c>
      <c r="C17" s="117">
        <f>IF(ISERROR(VLOOKUP($B$8,'[1]Base dados - TCU 2622_2013'!$A$7:$V$14,12,)),"",VLOOKUP($B$8,'[1]Base dados - TCU 2622_2013'!$A$7:$V$14,12,))</f>
        <v>1.1100000000000001</v>
      </c>
      <c r="D17" s="117">
        <f>IF(ISERROR(VLOOKUP($B$8,'[1]Base dados - TCU 2622_2013'!$A$7:$V$14,13,)),"",VLOOKUP($B$8,'[1]Base dados - TCU 2622_2013'!$A$7:$V$14,13,))</f>
        <v>1.21</v>
      </c>
      <c r="E17" s="121">
        <v>1.1100000000000001</v>
      </c>
      <c r="F17" s="109" t="str">
        <f t="shared" si="0"/>
        <v>OK</v>
      </c>
      <c r="G17" s="122"/>
      <c r="H17" s="112"/>
      <c r="I17" s="112"/>
      <c r="J17" s="112"/>
      <c r="K17" s="112"/>
    </row>
    <row r="18" spans="1:13" ht="15.75" x14ac:dyDescent="0.2">
      <c r="A18" s="116" t="s">
        <v>116</v>
      </c>
      <c r="B18" s="117">
        <f>IF(ISERROR(VLOOKUP($B$8,'[1]Base dados - TCU 2622_2013'!$A$7:$V$14,14,)),"",VLOOKUP($B$8,'[1]Base dados - TCU 2622_2013'!$A$7:$V$14,14,))</f>
        <v>6.64</v>
      </c>
      <c r="C18" s="117">
        <f>IF(ISERROR(VLOOKUP($B$8,'[1]Base dados - TCU 2622_2013'!$A$7:$V$14,15,)),"",VLOOKUP($B$8,'[1]Base dados - TCU 2622_2013'!$A$7:$V$14,15,))</f>
        <v>7.3</v>
      </c>
      <c r="D18" s="117">
        <f>IF(ISERROR(VLOOKUP($B$8,'[1]Base dados - TCU 2622_2013'!$A$7:$V$14,16,)),"",VLOOKUP($B$8,'[1]Base dados - TCU 2622_2013'!$A$7:$V$14,16,))</f>
        <v>8.69</v>
      </c>
      <c r="E18" s="121">
        <v>7.3</v>
      </c>
      <c r="F18" s="109" t="str">
        <f t="shared" si="0"/>
        <v>OK</v>
      </c>
      <c r="G18" s="122"/>
      <c r="H18" s="112"/>
      <c r="I18" s="112"/>
      <c r="J18" s="112"/>
      <c r="K18" s="112"/>
    </row>
    <row r="19" spans="1:13" ht="15.75" x14ac:dyDescent="0.2">
      <c r="A19" s="116" t="s">
        <v>117</v>
      </c>
      <c r="B19" s="117">
        <f>IF(ISERROR(VLOOKUP($B$8,'[1]Base dados - TCU 2622_2013'!$A$7:$V$14,17,)),"",VLOOKUP($B$8,'[1]Base dados - TCU 2622_2013'!$A$7:$V$14,17,))</f>
        <v>3</v>
      </c>
      <c r="C19" s="117">
        <f>IF(ISERROR(VLOOKUP($B$8,'[1]Base dados - TCU 2622_2013'!$A$7:$V$14,17,)),"",VLOOKUP($B$8,'[1]Base dados - TCU 2622_2013'!$A$7:$V$14,17,))</f>
        <v>3</v>
      </c>
      <c r="D19" s="117">
        <f>IF(ISERROR(VLOOKUP($B$8,'[1]Base dados - TCU 2622_2013'!$A$7:$V$14,17,)),"",VLOOKUP($B$8,'[1]Base dados - TCU 2622_2013'!$A$7:$V$14,17,))</f>
        <v>3</v>
      </c>
      <c r="E19" s="121">
        <v>3</v>
      </c>
      <c r="F19" s="109" t="str">
        <f t="shared" si="0"/>
        <v>OK</v>
      </c>
      <c r="G19" s="112"/>
      <c r="H19" s="112"/>
      <c r="I19" s="112"/>
      <c r="J19" s="112"/>
      <c r="K19" s="112"/>
    </row>
    <row r="20" spans="1:13" ht="15.75" x14ac:dyDescent="0.2">
      <c r="A20" s="116" t="s">
        <v>118</v>
      </c>
      <c r="B20" s="117">
        <f>IF(ISERROR(VLOOKUP($B$8,'[1]Base dados - TCU 2622_2013'!$A$7:$V$14,18,)),"",VLOOKUP($B$8,'[1]Base dados - TCU 2622_2013'!$A$7:$V$14,18,))</f>
        <v>0.65</v>
      </c>
      <c r="C20" s="117">
        <f>IF(ISERROR(VLOOKUP($B$8,'[1]Base dados - TCU 2622_2013'!$A$7:$V$14,18,)),"",VLOOKUP($B$8,'[1]Base dados - TCU 2622_2013'!$A$7:$V$14,18,))</f>
        <v>0.65</v>
      </c>
      <c r="D20" s="117">
        <f>IF(ISERROR(VLOOKUP($B$8,'[1]Base dados - TCU 2622_2013'!$A$7:$V$14,18,)),"",VLOOKUP($B$8,'[1]Base dados - TCU 2622_2013'!$A$7:$V$14,18,))</f>
        <v>0.65</v>
      </c>
      <c r="E20" s="121">
        <v>0.65</v>
      </c>
      <c r="F20" s="109" t="str">
        <f t="shared" si="0"/>
        <v>OK</v>
      </c>
      <c r="G20" s="112"/>
      <c r="H20" s="112"/>
      <c r="I20" s="112"/>
      <c r="J20" s="112"/>
      <c r="K20" s="112"/>
    </row>
    <row r="21" spans="1:13" ht="15.75" x14ac:dyDescent="0.2">
      <c r="A21" s="116" t="s">
        <v>119</v>
      </c>
      <c r="B21" s="117">
        <f>IF(ISERROR(VLOOKUP($B$8,'[1]Base dados - TCU 2622_2013'!$A$7:$V$14,19,)),"",VLOOKUP($B$8,'[1]Base dados - TCU 2622_2013'!$A$7:$V$14,19,))</f>
        <v>2</v>
      </c>
      <c r="C21" s="117">
        <f>IF(ISERROR(VLOOKUP($B$8,'[1]Base dados - TCU 2622_2013'!$A$7:$V$14,20,)),"",VLOOKUP($B$8,'[1]Base dados - TCU 2622_2013'!$A$7:$V$14,20,))</f>
        <v>3.5</v>
      </c>
      <c r="D21" s="117">
        <f>IF(ISERROR(VLOOKUP($B$8,'[1]Base dados - TCU 2622_2013'!$A$7:$V$14,21,)),"",VLOOKUP($B$8,'[1]Base dados - TCU 2622_2013'!$A$7:$V$14,21,))</f>
        <v>5</v>
      </c>
      <c r="E21" s="121">
        <v>3</v>
      </c>
      <c r="F21" s="109" t="str">
        <f t="shared" si="0"/>
        <v>OK</v>
      </c>
      <c r="G21" s="123"/>
      <c r="H21" s="124"/>
      <c r="I21" s="124"/>
      <c r="J21" s="124"/>
      <c r="K21" s="112"/>
    </row>
    <row r="22" spans="1:13" ht="30" customHeight="1" thickBot="1" x14ac:dyDescent="0.25">
      <c r="A22" s="116" t="str">
        <f>IF(B10="sim","CPRB - Alíquota 4,5% Receita Bruta (Desoneração)","")</f>
        <v>CPRB - Alíquota 4,5% Receita Bruta (Desoneração)</v>
      </c>
      <c r="B22" s="117">
        <f>IF($A$22="CPRB - Alíquota 4,5% Receita Bruta (Desoneração)",4.5,IF($B$10="","Preencher cabeçalho",0))</f>
        <v>4.5</v>
      </c>
      <c r="C22" s="117">
        <f>IF($A$22="CPRB - Alíquota 4,5% Receita Bruta (Desoneração)",4.5,IF($B$10="","Preencher cabeçalho",0))</f>
        <v>4.5</v>
      </c>
      <c r="D22" s="125">
        <f>IF($A$22="CPRB - Alíquota 4,5% Receita Bruta (Desoneração)",4.5,IF($B$10="","Preencher cabeçalho",0))</f>
        <v>4.5</v>
      </c>
      <c r="E22" s="126">
        <f>IF(B10="SIM",4.5,0)</f>
        <v>4.5</v>
      </c>
      <c r="F22" s="109" t="str">
        <f t="shared" si="0"/>
        <v>OK</v>
      </c>
      <c r="G22" s="124"/>
      <c r="H22" s="124"/>
      <c r="I22" s="124"/>
      <c r="J22" s="124"/>
      <c r="K22" s="112"/>
    </row>
    <row r="23" spans="1:13" ht="48" customHeight="1" thickBot="1" x14ac:dyDescent="0.25">
      <c r="A23" s="127" t="s">
        <v>120</v>
      </c>
      <c r="B23" s="128">
        <f>IF($B$10="SIM",E28,"")</f>
        <v>25.576679622431975</v>
      </c>
      <c r="C23" s="128">
        <f>IF($B$10="SIM",J27,"")</f>
        <v>27.015141588006664</v>
      </c>
      <c r="D23" s="128">
        <f>IF($B$10="SIM",L27,"")</f>
        <v>30.43805108273181</v>
      </c>
      <c r="E23" s="129">
        <f>IF(B10="SIM",IF(G23&lt;12,"PREENCHER CÉLULAS RESTANTES",((((1+E14/100+E15/100+E16/100)*(1+E17/100)*(1+E18/100))/(1-((E19+E20+E21*$B$9+E22)/100))-1)*100)),"")</f>
        <v>26.466445520266557</v>
      </c>
      <c r="F23" s="112"/>
      <c r="G23" s="130">
        <f>COUNTIF(F8:F22,"OK")</f>
        <v>12</v>
      </c>
      <c r="I23" s="131"/>
      <c r="J23" s="112"/>
      <c r="K23" s="112"/>
    </row>
    <row r="24" spans="1:13" s="110" customFormat="1" ht="48.75" customHeight="1" thickBot="1" x14ac:dyDescent="0.25">
      <c r="A24" s="127" t="s">
        <v>121</v>
      </c>
      <c r="B24" s="128">
        <f>IF(B8&lt;&gt;"",VLOOKUP($B$8,'[1]Base dados - TCU 2622_2013'!$A$7:$Y$14,23,),"")</f>
        <v>19.600000000000001</v>
      </c>
      <c r="C24" s="128">
        <f>IF(B8&lt;&gt;"",VLOOKUP($B$8,'[1]Base dados - TCU 2622_2013'!$A$7:$Y$14,24,),"")</f>
        <v>20.97</v>
      </c>
      <c r="D24" s="128">
        <f>IF(B8&lt;&gt;"",VLOOKUP($B$8,'[1]Base dados - TCU 2622_2013'!$A$7:$Y$14,25,),"")</f>
        <v>24.23</v>
      </c>
      <c r="E24" s="129" t="str">
        <f>IF(B10="NÃO",IF(G23&lt;12,"PREENCHER CÉLULAS RESTANTES",((((1+E14/100+E15/100+E16/100)*(1+E17/100)*(1+E18/100))/(1-((E19+E20+E21*$B$9)/100))-1)*100)),"")</f>
        <v/>
      </c>
      <c r="F24" s="109" t="str">
        <f>IF(E26="ERRADO","BDI EXTRAPOLA A MAIS OU A MENOS OS LIMITES DO BDI ESTABELECIDOS PELO TCYU ACÓRDÃO 2622/2013","")</f>
        <v/>
      </c>
      <c r="G24" s="132"/>
      <c r="H24" s="132"/>
      <c r="I24" s="133"/>
      <c r="J24" s="109"/>
      <c r="K24" s="109"/>
    </row>
    <row r="25" spans="1:13" s="110" customFormat="1" ht="16.5" thickBot="1" x14ac:dyDescent="0.25">
      <c r="A25" s="134" t="s">
        <v>122</v>
      </c>
      <c r="F25" s="109"/>
      <c r="H25" s="133"/>
      <c r="I25" s="133"/>
      <c r="J25" s="109"/>
      <c r="K25" s="109"/>
    </row>
    <row r="26" spans="1:13" s="110" customFormat="1" ht="15.75" customHeight="1" thickBot="1" x14ac:dyDescent="0.25">
      <c r="A26" s="134" t="s">
        <v>123</v>
      </c>
      <c r="D26" s="135" t="s">
        <v>124</v>
      </c>
      <c r="E26" s="136" t="str">
        <f>IF(B10="NÃO",(IF(E24&gt;D24,"INADEQUADO",IF(E24&lt;B24,"INADEQUADO","OK"))),IF(B10="SIM",(IF(E23&gt;D23,"INADEQUADO",IF(E23&lt;B23,"INADEQUADO","OK"))),""))</f>
        <v>OK</v>
      </c>
      <c r="F26" s="137" t="s">
        <v>125</v>
      </c>
      <c r="G26" s="133"/>
      <c r="H26" s="133"/>
      <c r="I26" s="133"/>
      <c r="J26" s="109"/>
      <c r="K26" s="109"/>
    </row>
    <row r="27" spans="1:13" x14ac:dyDescent="0.2">
      <c r="D27" s="138" t="str">
        <f>IF(B10="SIM","BDI s/ desoneração:","")</f>
        <v>BDI s/ desoneração:</v>
      </c>
      <c r="E27" s="139">
        <f>IF(B10="SIM",((((1+E14/100+E15/100+E16/100)*(1+E17/100)*(1+E18/100))/(1-((E19+E20+E21*$B$9)/100))-1)*100),"")</f>
        <v>20.447418499206794</v>
      </c>
      <c r="F27" s="137" t="s">
        <v>126</v>
      </c>
      <c r="G27" s="131"/>
      <c r="I27" s="130">
        <f>VLOOKUP($B$8,'[1]Base dados - TCU 2622_2013'!$A$7:$Y$14,23,)</f>
        <v>19.600000000000001</v>
      </c>
      <c r="J27" s="130">
        <f>((1+K27/100)*(((0.045/(0.9185-$E$21/100*$B$9))+1))-1)*100</f>
        <v>27.015141588006664</v>
      </c>
      <c r="K27" s="130">
        <f>VLOOKUP($B$8,'[1]Base dados - TCU 2622_2013'!$A$7:$Y$14,24,)</f>
        <v>20.97</v>
      </c>
      <c r="L27" s="130">
        <f>((1+M27/100)*(((0.045/(0.9185-$E$21/100*$B$9))+1))-1)*100</f>
        <v>30.43805108273181</v>
      </c>
      <c r="M27" s="130">
        <f>VLOOKUP($B$8,'[1]Base dados - TCU 2622_2013'!$A$7:$Y$14,25,)</f>
        <v>24.23</v>
      </c>
    </row>
    <row r="28" spans="1:13" ht="15.75" x14ac:dyDescent="0.2">
      <c r="A28" s="379" t="s">
        <v>127</v>
      </c>
      <c r="B28" s="379"/>
      <c r="C28" s="379"/>
      <c r="D28" s="379"/>
      <c r="E28" s="140">
        <f>((1+I27/100)*(((0.045/(0.9185-$E$21/100*$B$9))+1))-1)*100</f>
        <v>25.576679622431975</v>
      </c>
      <c r="F28" s="133"/>
      <c r="G28" s="112"/>
      <c r="I28" s="130"/>
      <c r="J28" s="130">
        <f>((1+K27/100)*(0.9635-$E$21*$B$9/100)/(0.9435-$E$22*$B$9/100)-1)*100</f>
        <v>24.797746863066017</v>
      </c>
      <c r="K28" s="130"/>
      <c r="L28" s="130">
        <f>((1+M27/100)*(0.9635-$E$21*$B$9/100)/(0.9435-$E$22*$B$9/100)-1)*100</f>
        <v>28.160900163666124</v>
      </c>
      <c r="M28" s="130"/>
    </row>
    <row r="29" spans="1:13" x14ac:dyDescent="0.2">
      <c r="E29" s="140">
        <f>((1+I27/100)*(0.9635-$E$21*$B$9/100)/(0.9185-$E$22*$B$9/100)-1)*100</f>
        <v>26.84441951766685</v>
      </c>
      <c r="F29" s="133"/>
      <c r="G29" s="112"/>
      <c r="H29" s="112"/>
      <c r="I29" s="112"/>
      <c r="J29" s="112"/>
      <c r="K29" s="112"/>
      <c r="L29" s="112"/>
    </row>
    <row r="30" spans="1:13" x14ac:dyDescent="0.2">
      <c r="F30" s="112"/>
    </row>
    <row r="31" spans="1:13" x14ac:dyDescent="0.2">
      <c r="F31" s="112"/>
    </row>
    <row r="32" spans="1:13" x14ac:dyDescent="0.2">
      <c r="F32" s="112"/>
    </row>
    <row r="33" spans="1:11" ht="15" x14ac:dyDescent="0.2">
      <c r="A33" s="141" t="s">
        <v>128</v>
      </c>
      <c r="F33" s="112"/>
      <c r="G33" s="112"/>
      <c r="H33" s="112"/>
      <c r="I33" s="112"/>
      <c r="J33" s="112"/>
      <c r="K33" s="112"/>
    </row>
    <row r="34" spans="1:11" ht="15" x14ac:dyDescent="0.2">
      <c r="A34" s="392" t="s">
        <v>129</v>
      </c>
      <c r="B34" s="392"/>
      <c r="C34" s="392"/>
      <c r="D34" s="392"/>
      <c r="F34" s="112"/>
      <c r="G34" s="112"/>
      <c r="H34" s="112"/>
      <c r="I34" s="112"/>
      <c r="J34" s="112"/>
      <c r="K34" s="112"/>
    </row>
    <row r="35" spans="1:11" ht="15" x14ac:dyDescent="0.2">
      <c r="A35" s="392" t="s">
        <v>130</v>
      </c>
      <c r="B35" s="392"/>
      <c r="C35" s="392"/>
      <c r="D35" s="392"/>
      <c r="F35" s="112"/>
      <c r="G35" s="112"/>
      <c r="H35" s="112"/>
      <c r="I35" s="112"/>
      <c r="J35" s="112"/>
      <c r="K35" s="112"/>
    </row>
    <row r="36" spans="1:11" ht="15" x14ac:dyDescent="0.2">
      <c r="A36" s="392" t="s">
        <v>131</v>
      </c>
      <c r="B36" s="392"/>
      <c r="C36" s="392"/>
      <c r="D36" s="392"/>
      <c r="F36" s="112"/>
      <c r="G36" s="112"/>
      <c r="H36" s="112"/>
      <c r="I36" s="112"/>
      <c r="J36" s="112"/>
      <c r="K36" s="112"/>
    </row>
    <row r="37" spans="1:11" ht="15" x14ac:dyDescent="0.2">
      <c r="A37" s="392" t="s">
        <v>132</v>
      </c>
      <c r="B37" s="392"/>
      <c r="C37" s="392"/>
      <c r="D37" s="392"/>
      <c r="E37" s="392"/>
      <c r="F37" s="112"/>
      <c r="H37" s="112"/>
      <c r="I37" s="112"/>
      <c r="J37" s="112"/>
      <c r="K37" s="112"/>
    </row>
    <row r="38" spans="1:11" ht="15" x14ac:dyDescent="0.2">
      <c r="A38" s="392" t="s">
        <v>133</v>
      </c>
      <c r="B38" s="392"/>
      <c r="C38" s="392"/>
      <c r="D38" s="392"/>
      <c r="F38" s="112"/>
      <c r="G38" s="112"/>
      <c r="H38" s="112"/>
      <c r="I38" s="112"/>
      <c r="J38" s="112"/>
      <c r="K38" s="112"/>
    </row>
    <row r="39" spans="1:11" ht="15" x14ac:dyDescent="0.2">
      <c r="A39" s="142"/>
      <c r="B39" s="142"/>
      <c r="C39" s="142"/>
      <c r="D39" s="142"/>
      <c r="F39" s="112"/>
      <c r="G39" s="112"/>
      <c r="H39" s="112"/>
      <c r="I39" s="112"/>
      <c r="J39" s="112"/>
      <c r="K39" s="112"/>
    </row>
    <row r="40" spans="1:11" ht="68.25" customHeight="1" x14ac:dyDescent="0.2">
      <c r="A40" s="393" t="str">
        <f>CONCATENATE("Declaro para os devidos fins que, conforme legislação tributária municipal, a base de cálculo do ISS para ",B8," é de ",B9*100,"%, com a respectiva alíquota de ",E21,"%. Declaramos ainda que adotamos orçamento ",IF(B10="SIM","Com Desoneração",IF(B10="NÃO","Sem Desoneração",""))," e que esta é a alternativa mais adequada para a Administração Pública.")</f>
        <v>Declaro para os devidos fins que, conforme legislação tributária municipal, a base de cálculo do ISS para Construção de Rodovias (Pavimentação Urbana) é de 60%, com a respectiva alíquota de 3%. Declaramos ainda que adotamos orçamento Com Desoneração e que esta é a alternativa mais adequada para a Administração Pública.</v>
      </c>
      <c r="B40" s="394"/>
      <c r="C40" s="394"/>
      <c r="D40" s="394"/>
      <c r="E40" s="395"/>
      <c r="F40" s="112"/>
      <c r="G40" s="112"/>
      <c r="H40" s="112"/>
      <c r="I40" s="112"/>
      <c r="J40" s="112"/>
      <c r="K40" s="112"/>
    </row>
    <row r="41" spans="1:11" ht="15" x14ac:dyDescent="0.2">
      <c r="A41" s="142"/>
      <c r="B41" s="142"/>
      <c r="C41" s="142"/>
      <c r="D41" s="142"/>
      <c r="F41" s="112"/>
      <c r="G41" s="112"/>
      <c r="H41" s="112"/>
      <c r="I41" s="112"/>
      <c r="J41" s="112"/>
      <c r="K41" s="112"/>
    </row>
    <row r="42" spans="1:11" ht="15" x14ac:dyDescent="0.25">
      <c r="A42" s="143"/>
      <c r="B42" s="142"/>
      <c r="C42" s="142"/>
      <c r="D42" s="142"/>
      <c r="F42" s="112"/>
      <c r="G42" s="112"/>
      <c r="H42" s="112"/>
      <c r="I42" s="112"/>
      <c r="J42" s="112"/>
      <c r="K42" s="112"/>
    </row>
    <row r="43" spans="1:11" ht="15" x14ac:dyDescent="0.2">
      <c r="A43" s="142"/>
      <c r="B43" s="142"/>
      <c r="C43" s="142"/>
      <c r="D43" s="142"/>
      <c r="F43" s="112"/>
      <c r="G43" s="112"/>
      <c r="H43" s="112"/>
      <c r="I43" s="112"/>
      <c r="J43" s="112"/>
      <c r="K43" s="112"/>
    </row>
    <row r="44" spans="1:11" ht="15" x14ac:dyDescent="0.2">
      <c r="A44" s="144"/>
      <c r="B44" s="142"/>
      <c r="C44" s="396"/>
      <c r="D44" s="396"/>
      <c r="E44" s="396"/>
      <c r="F44" s="112"/>
      <c r="G44" s="112"/>
      <c r="H44" s="112"/>
      <c r="I44" s="112"/>
      <c r="J44" s="112"/>
      <c r="K44" s="112"/>
    </row>
    <row r="45" spans="1:11" ht="15" x14ac:dyDescent="0.25">
      <c r="A45" s="143" t="s">
        <v>134</v>
      </c>
      <c r="B45" s="142"/>
      <c r="C45" s="145" t="s">
        <v>135</v>
      </c>
      <c r="D45" s="397"/>
      <c r="E45" s="397"/>
      <c r="F45" s="112"/>
      <c r="G45" s="112"/>
      <c r="H45" s="112"/>
      <c r="I45" s="112"/>
      <c r="J45" s="112"/>
      <c r="K45" s="112"/>
    </row>
    <row r="46" spans="1:11" ht="15" x14ac:dyDescent="0.25">
      <c r="A46" s="143" t="s">
        <v>136</v>
      </c>
      <c r="B46" s="142"/>
      <c r="C46" s="145" t="s">
        <v>137</v>
      </c>
      <c r="D46" s="398"/>
      <c r="E46" s="398"/>
      <c r="F46" s="112"/>
      <c r="G46" s="112"/>
      <c r="H46" s="112"/>
      <c r="I46" s="112"/>
      <c r="J46" s="112"/>
      <c r="K46" s="112"/>
    </row>
    <row r="47" spans="1:11" ht="15" x14ac:dyDescent="0.2">
      <c r="A47" s="142"/>
      <c r="B47" s="142"/>
      <c r="C47" s="142"/>
      <c r="D47" s="142"/>
      <c r="F47" s="112"/>
      <c r="G47" s="112"/>
      <c r="H47" s="112"/>
      <c r="I47" s="112"/>
      <c r="J47" s="112"/>
      <c r="K47" s="112"/>
    </row>
    <row r="48" spans="1:11" x14ac:dyDescent="0.2">
      <c r="A48" s="146"/>
      <c r="B48" s="146"/>
      <c r="C48" s="146"/>
      <c r="D48" s="146"/>
      <c r="E48" s="146"/>
    </row>
    <row r="49" spans="1:5" ht="25.5" customHeight="1" x14ac:dyDescent="0.2">
      <c r="A49" s="399"/>
      <c r="B49" s="399"/>
      <c r="C49" s="399"/>
      <c r="D49" s="399"/>
      <c r="E49" s="399"/>
    </row>
    <row r="50" spans="1:5" ht="25.5" customHeight="1" x14ac:dyDescent="0.2">
      <c r="A50" s="147"/>
      <c r="B50" s="147"/>
      <c r="C50" s="147"/>
      <c r="D50" s="147"/>
      <c r="E50" s="147"/>
    </row>
    <row r="51" spans="1:5" ht="25.5" customHeight="1" x14ac:dyDescent="0.2">
      <c r="A51" s="399"/>
      <c r="B51" s="399"/>
      <c r="C51" s="399"/>
      <c r="D51" s="399"/>
      <c r="E51" s="399"/>
    </row>
    <row r="52" spans="1:5" s="104" customFormat="1" x14ac:dyDescent="0.2">
      <c r="A52" s="146"/>
      <c r="B52" s="146"/>
      <c r="C52" s="146"/>
      <c r="D52" s="146"/>
      <c r="E52" s="146"/>
    </row>
    <row r="53" spans="1:5" ht="15.75" x14ac:dyDescent="0.2">
      <c r="A53" s="148"/>
      <c r="B53" s="146"/>
      <c r="C53" s="146"/>
      <c r="D53" s="146"/>
      <c r="E53" s="146"/>
    </row>
    <row r="54" spans="1:5" s="110" customFormat="1" ht="8.25" x14ac:dyDescent="0.2">
      <c r="A54" s="149"/>
      <c r="B54" s="149"/>
      <c r="C54" s="149"/>
      <c r="D54" s="149"/>
      <c r="E54" s="149"/>
    </row>
    <row r="55" spans="1:5" ht="16.5" customHeight="1" x14ac:dyDescent="0.2">
      <c r="A55" s="391"/>
      <c r="B55" s="391"/>
      <c r="C55" s="391"/>
      <c r="D55" s="391"/>
      <c r="E55" s="150"/>
    </row>
    <row r="56" spans="1:5" ht="16.5" customHeight="1" x14ac:dyDescent="0.2">
      <c r="A56" s="391"/>
      <c r="B56" s="401"/>
      <c r="C56" s="401"/>
      <c r="D56" s="401"/>
      <c r="E56" s="150"/>
    </row>
    <row r="57" spans="1:5" ht="15.75" x14ac:dyDescent="0.2">
      <c r="A57" s="391"/>
      <c r="B57" s="151"/>
      <c r="C57" s="151"/>
      <c r="D57" s="151"/>
      <c r="E57" s="150"/>
    </row>
    <row r="58" spans="1:5" ht="15.75" x14ac:dyDescent="0.2">
      <c r="A58" s="152"/>
      <c r="B58" s="153"/>
      <c r="C58" s="153"/>
      <c r="D58" s="153"/>
    </row>
    <row r="59" spans="1:5" ht="15.75" x14ac:dyDescent="0.2">
      <c r="A59" s="152"/>
      <c r="B59" s="153"/>
      <c r="C59" s="153"/>
      <c r="D59" s="153"/>
    </row>
    <row r="60" spans="1:5" ht="15.75" x14ac:dyDescent="0.2">
      <c r="A60" s="152"/>
      <c r="B60" s="153"/>
      <c r="C60" s="153"/>
      <c r="D60" s="153"/>
    </row>
    <row r="61" spans="1:5" ht="15.75" x14ac:dyDescent="0.2">
      <c r="A61" s="152"/>
      <c r="B61" s="153"/>
      <c r="C61" s="153"/>
      <c r="D61" s="153"/>
    </row>
    <row r="62" spans="1:5" ht="15.75" x14ac:dyDescent="0.2">
      <c r="A62" s="152"/>
      <c r="B62" s="153"/>
      <c r="C62" s="153"/>
      <c r="D62" s="153"/>
    </row>
    <row r="63" spans="1:5" ht="15.75" x14ac:dyDescent="0.2">
      <c r="A63" s="154"/>
      <c r="B63" s="155"/>
      <c r="C63" s="155"/>
      <c r="D63" s="155"/>
    </row>
    <row r="64" spans="1:5" ht="15.75" x14ac:dyDescent="0.2">
      <c r="A64" s="152"/>
      <c r="B64" s="153"/>
      <c r="C64" s="153"/>
      <c r="D64" s="153"/>
    </row>
    <row r="65" spans="1:4" ht="15.75" x14ac:dyDescent="0.2">
      <c r="A65" s="152"/>
      <c r="B65" s="153"/>
      <c r="C65" s="153"/>
      <c r="D65" s="153"/>
    </row>
    <row r="66" spans="1:4" ht="15.75" x14ac:dyDescent="0.2">
      <c r="A66" s="152"/>
      <c r="B66" s="153"/>
      <c r="C66" s="153"/>
      <c r="D66" s="153"/>
    </row>
    <row r="67" spans="1:4" ht="15.75" x14ac:dyDescent="0.2">
      <c r="A67" s="154"/>
      <c r="B67" s="155"/>
      <c r="C67" s="155"/>
      <c r="D67" s="155"/>
    </row>
    <row r="68" spans="1:4" s="110" customFormat="1" ht="8.25" x14ac:dyDescent="0.2"/>
    <row r="69" spans="1:4" ht="15.75" x14ac:dyDescent="0.2">
      <c r="A69" s="379"/>
      <c r="B69" s="379"/>
      <c r="C69" s="379"/>
      <c r="D69" s="379"/>
    </row>
    <row r="74" spans="1:4" ht="15" x14ac:dyDescent="0.2">
      <c r="A74" s="141"/>
    </row>
    <row r="75" spans="1:4" ht="15" x14ac:dyDescent="0.2">
      <c r="A75" s="400"/>
      <c r="B75" s="400"/>
      <c r="C75" s="400"/>
      <c r="D75" s="400"/>
    </row>
    <row r="76" spans="1:4" ht="15" x14ac:dyDescent="0.2">
      <c r="A76" s="400"/>
      <c r="B76" s="400"/>
      <c r="C76" s="400"/>
      <c r="D76" s="400"/>
    </row>
    <row r="77" spans="1:4" ht="15" x14ac:dyDescent="0.2">
      <c r="A77" s="400"/>
      <c r="B77" s="400"/>
      <c r="C77" s="400"/>
      <c r="D77" s="400"/>
    </row>
    <row r="78" spans="1:4" ht="15" x14ac:dyDescent="0.2">
      <c r="A78" s="400"/>
      <c r="B78" s="400"/>
      <c r="C78" s="400"/>
      <c r="D78" s="400"/>
    </row>
    <row r="79" spans="1:4" ht="15" x14ac:dyDescent="0.2">
      <c r="A79" s="400"/>
      <c r="B79" s="400"/>
      <c r="C79" s="400"/>
      <c r="D79" s="400"/>
    </row>
    <row r="80" spans="1:4" ht="15" x14ac:dyDescent="0.2">
      <c r="A80" s="400"/>
      <c r="B80" s="400"/>
      <c r="C80" s="400"/>
      <c r="D80" s="400"/>
    </row>
    <row r="81" spans="1:4" ht="15" x14ac:dyDescent="0.2">
      <c r="A81" s="400"/>
      <c r="B81" s="400"/>
      <c r="C81" s="400"/>
      <c r="D81" s="400"/>
    </row>
  </sheetData>
  <sheetProtection password="D921" sheet="1" formatCells="0" formatColumns="0" formatRows="0" insertColumns="0" insertRows="0" insertHyperlinks="0" deleteColumns="0" deleteRows="0" selectLockedCells="1" sort="0" autoFilter="0" pivotTables="0"/>
  <dataConsolidate/>
  <mergeCells count="34">
    <mergeCell ref="A78:D78"/>
    <mergeCell ref="A79:D79"/>
    <mergeCell ref="A80:D80"/>
    <mergeCell ref="A81:D81"/>
    <mergeCell ref="A56:A57"/>
    <mergeCell ref="B56:D56"/>
    <mergeCell ref="A69:D69"/>
    <mergeCell ref="A75:D75"/>
    <mergeCell ref="A76:D76"/>
    <mergeCell ref="A77:D77"/>
    <mergeCell ref="A55:D55"/>
    <mergeCell ref="A34:D34"/>
    <mergeCell ref="A35:D35"/>
    <mergeCell ref="A36:D36"/>
    <mergeCell ref="A37:E37"/>
    <mergeCell ref="A38:D38"/>
    <mergeCell ref="A40:E40"/>
    <mergeCell ref="C44:E44"/>
    <mergeCell ref="D45:E45"/>
    <mergeCell ref="D46:E46"/>
    <mergeCell ref="A49:E49"/>
    <mergeCell ref="A51:E51"/>
    <mergeCell ref="A28:D28"/>
    <mergeCell ref="A1:E1"/>
    <mergeCell ref="A3:E3"/>
    <mergeCell ref="B5:E5"/>
    <mergeCell ref="B6:E6"/>
    <mergeCell ref="B7:E7"/>
    <mergeCell ref="B8:E8"/>
    <mergeCell ref="B9:E9"/>
    <mergeCell ref="B10:E10"/>
    <mergeCell ref="A12:A13"/>
    <mergeCell ref="B12:D12"/>
    <mergeCell ref="E12:E13"/>
  </mergeCells>
  <conditionalFormatting sqref="E26">
    <cfRule type="cellIs" dxfId="1" priority="1" stopIfTrue="1" operator="equal">
      <formula>"INADEQUADO"</formula>
    </cfRule>
    <cfRule type="cellIs" dxfId="0" priority="2" stopIfTrue="1" operator="equal">
      <formula>"OK"</formula>
    </cfRule>
  </conditionalFormatting>
  <dataValidations count="6">
    <dataValidation type="list" allowBlank="1" showInputMessage="1" showErrorMessage="1" errorTitle="ERRO" error="Digitar SIM ou NÃO!" sqref="B10:E10" xr:uid="{690ED405-E041-4A8A-900C-EFF4A2261B49}">
      <formula1>sigla_sn</formula1>
    </dataValidation>
    <dataValidation type="decimal" allowBlank="1" showInputMessage="1" showErrorMessage="1" errorTitle="ERRO" error="Digite a % da Nota em que se incide o ISS" promptTitle="COMO PREENCHER:" prompt="- DE 0% A 100% CONFORME APLICADO PELA PREFEITURA NA NOTA PARA MÃO DE OBRA!" sqref="B9:E9" xr:uid="{D6551A6A-548A-4203-9579-5ACD613B3FC7}">
      <formula1>0</formula1>
      <formula2>1</formula2>
    </dataValidation>
    <dataValidation type="list" allowBlank="1" showInputMessage="1" showErrorMessage="1" errorTitle="ERRO" error="ESCOLHA ENTRE OS TIPOS DE OBRA ESPECIFICADOS !" sqref="B8:E8" xr:uid="{7AE20696-BF51-497A-A529-C76B25CF1658}">
      <formula1>sigla_obras</formula1>
    </dataValidation>
    <dataValidation errorStyle="warning" allowBlank="1" showInputMessage="1" showErrorMessage="1" promptTitle="NOTE:" prompt="&lt;=== ADEQUAR PARA OS LIMITES DO BDI ESTABELECIDOS CONFORME TCU ACÓRDÃO 2622/2013 !" sqref="E26" xr:uid="{518F09EB-6AE0-42DF-8EBC-A21E8FFFC6CD}"/>
    <dataValidation type="decimal" allowBlank="1" showInputMessage="1" showErrorMessage="1" errorTitle="ERRO" error="- SE ONERADO = 0%_x000a__x000a_- SE DESONERADO = ALÍQUOTA DE 4,5% DA RECEITA BRUTA" promptTitle="COMO PREENCHER:" prompt="- SE ONERADO: 0%_x000a__x000a_- SE DESONERADO: ALÍQUOTA DE 4,5% DA RECEITA BRUTA" sqref="E22" xr:uid="{7030B23B-0EDD-432A-8079-B4E5D2BF1574}">
      <formula1>B22</formula1>
      <formula2>D22</formula2>
    </dataValidation>
    <dataValidation type="decimal" allowBlank="1" showInputMessage="1" showErrorMessage="1" errorTitle="ERRO" error="O VALOR ESTÁ FORA DOS LIMITES ESTABELECIDOS PELO TCU ACÓRDÃO 2622/2013 !" sqref="E14:E21" xr:uid="{27F407B0-2A25-417F-8434-A4BA949BB182}">
      <formula1>B14</formula1>
      <formula2>D14</formula2>
    </dataValidation>
  </dataValidations>
  <printOptions horizontalCentered="1"/>
  <pageMargins left="1.1811023622047245" right="0.78740157480314965" top="1.1811023622047245" bottom="0.78740157480314965" header="0.51181102362204722" footer="0.51181102362204722"/>
  <pageSetup paperSize="9" scale="76" orientation="portrait" horizontalDpi="4294967293" r:id="rId1"/>
  <headerFooter alignWithMargins="0">
    <oddFooter>&amp;R&amp;P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3FBAA-D57B-4E67-942D-D282F74207F1}">
  <dimension ref="A1:Y18"/>
  <sheetViews>
    <sheetView zoomScale="70" workbookViewId="0">
      <selection activeCell="H23" sqref="H23"/>
    </sheetView>
  </sheetViews>
  <sheetFormatPr defaultColWidth="9.140625" defaultRowHeight="12.75" x14ac:dyDescent="0.2"/>
  <cols>
    <col min="1" max="1" width="84.85546875" style="44" bestFit="1" customWidth="1"/>
    <col min="2" max="24" width="9.140625" style="44"/>
    <col min="25" max="25" width="11.28515625" style="44" bestFit="1" customWidth="1"/>
    <col min="26" max="16384" width="9.140625" style="44"/>
  </cols>
  <sheetData>
    <row r="1" spans="1:25" x14ac:dyDescent="0.2">
      <c r="A1" s="44" t="s">
        <v>138</v>
      </c>
    </row>
    <row r="2" spans="1:25" x14ac:dyDescent="0.2">
      <c r="A2" s="44" t="s">
        <v>139</v>
      </c>
    </row>
    <row r="3" spans="1:25" x14ac:dyDescent="0.2">
      <c r="A3" s="44" t="s">
        <v>140</v>
      </c>
    </row>
    <row r="5" spans="1:25" x14ac:dyDescent="0.2">
      <c r="A5" s="156"/>
      <c r="B5" s="402" t="s">
        <v>141</v>
      </c>
      <c r="C5" s="402"/>
      <c r="D5" s="402"/>
      <c r="E5" s="402" t="s">
        <v>142</v>
      </c>
      <c r="F5" s="402"/>
      <c r="G5" s="402"/>
      <c r="H5" s="402" t="s">
        <v>143</v>
      </c>
      <c r="I5" s="402"/>
      <c r="J5" s="402"/>
      <c r="K5" s="402" t="s">
        <v>144</v>
      </c>
      <c r="L5" s="402"/>
      <c r="M5" s="402"/>
      <c r="N5" s="402" t="s">
        <v>145</v>
      </c>
      <c r="O5" s="402"/>
      <c r="P5" s="402"/>
      <c r="Q5" s="402" t="s">
        <v>117</v>
      </c>
      <c r="R5" s="402" t="s">
        <v>118</v>
      </c>
      <c r="S5" s="402" t="s">
        <v>146</v>
      </c>
      <c r="T5" s="402"/>
      <c r="U5" s="402"/>
      <c r="V5" s="402" t="s">
        <v>147</v>
      </c>
      <c r="W5" s="402" t="s">
        <v>148</v>
      </c>
      <c r="X5" s="402"/>
      <c r="Y5" s="402"/>
    </row>
    <row r="6" spans="1:25" ht="13.5" thickBot="1" x14ac:dyDescent="0.25">
      <c r="A6" s="156" t="s">
        <v>149</v>
      </c>
      <c r="B6" s="156" t="s">
        <v>150</v>
      </c>
      <c r="C6" s="156" t="s">
        <v>151</v>
      </c>
      <c r="D6" s="156" t="s">
        <v>152</v>
      </c>
      <c r="E6" s="156" t="s">
        <v>150</v>
      </c>
      <c r="F6" s="156" t="s">
        <v>151</v>
      </c>
      <c r="G6" s="156" t="s">
        <v>152</v>
      </c>
      <c r="H6" s="156" t="s">
        <v>150</v>
      </c>
      <c r="I6" s="156" t="s">
        <v>151</v>
      </c>
      <c r="J6" s="156" t="s">
        <v>152</v>
      </c>
      <c r="K6" s="156" t="s">
        <v>150</v>
      </c>
      <c r="L6" s="156" t="s">
        <v>151</v>
      </c>
      <c r="M6" s="156" t="s">
        <v>152</v>
      </c>
      <c r="N6" s="156" t="s">
        <v>150</v>
      </c>
      <c r="O6" s="156" t="s">
        <v>151</v>
      </c>
      <c r="P6" s="156" t="s">
        <v>152</v>
      </c>
      <c r="Q6" s="402"/>
      <c r="R6" s="402"/>
      <c r="S6" s="156" t="s">
        <v>150</v>
      </c>
      <c r="T6" s="156" t="s">
        <v>151</v>
      </c>
      <c r="U6" s="156" t="s">
        <v>152</v>
      </c>
      <c r="V6" s="402"/>
      <c r="W6" s="156" t="s">
        <v>150</v>
      </c>
      <c r="X6" s="156" t="s">
        <v>151</v>
      </c>
      <c r="Y6" s="156" t="s">
        <v>152</v>
      </c>
    </row>
    <row r="7" spans="1:25" ht="16.5" thickBot="1" x14ac:dyDescent="0.3">
      <c r="A7" s="156" t="s">
        <v>153</v>
      </c>
      <c r="B7" s="157">
        <v>3</v>
      </c>
      <c r="C7" s="157">
        <v>4</v>
      </c>
      <c r="D7" s="157">
        <v>5.5</v>
      </c>
      <c r="E7" s="158">
        <v>0.8</v>
      </c>
      <c r="F7" s="158">
        <v>0.8</v>
      </c>
      <c r="G7" s="158">
        <v>1</v>
      </c>
      <c r="H7" s="157">
        <v>0.97</v>
      </c>
      <c r="I7" s="157">
        <v>1.27</v>
      </c>
      <c r="J7" s="157">
        <v>1.27</v>
      </c>
      <c r="K7" s="158">
        <v>0.59</v>
      </c>
      <c r="L7" s="158">
        <v>1.23</v>
      </c>
      <c r="M7" s="158">
        <v>1.39</v>
      </c>
      <c r="N7" s="157">
        <v>6.16</v>
      </c>
      <c r="O7" s="157">
        <v>7.4</v>
      </c>
      <c r="P7" s="157">
        <v>8.9600000000000009</v>
      </c>
      <c r="Q7" s="157">
        <v>3</v>
      </c>
      <c r="R7" s="157">
        <v>0.65</v>
      </c>
      <c r="S7" s="158">
        <v>2</v>
      </c>
      <c r="T7" s="158">
        <f>(S7+U7)/2</f>
        <v>3.5</v>
      </c>
      <c r="U7" s="158">
        <v>5</v>
      </c>
      <c r="V7" s="156">
        <v>2</v>
      </c>
      <c r="W7" s="159">
        <v>20.34</v>
      </c>
      <c r="X7" s="159">
        <v>22.12</v>
      </c>
      <c r="Y7" s="159">
        <v>25</v>
      </c>
    </row>
    <row r="8" spans="1:25" ht="16.5" thickBot="1" x14ac:dyDescent="0.3">
      <c r="A8" s="156" t="s">
        <v>154</v>
      </c>
      <c r="B8" s="157">
        <v>3.8</v>
      </c>
      <c r="C8" s="157">
        <v>4.01</v>
      </c>
      <c r="D8" s="157">
        <v>4.67</v>
      </c>
      <c r="E8" s="158">
        <v>0.32</v>
      </c>
      <c r="F8" s="158">
        <v>0.4</v>
      </c>
      <c r="G8" s="158">
        <v>0.74</v>
      </c>
      <c r="H8" s="157">
        <v>0.5</v>
      </c>
      <c r="I8" s="157">
        <v>0.56000000000000005</v>
      </c>
      <c r="J8" s="157">
        <v>0.97</v>
      </c>
      <c r="K8" s="158">
        <v>1.02</v>
      </c>
      <c r="L8" s="158">
        <v>1.1100000000000001</v>
      </c>
      <c r="M8" s="158">
        <v>1.21</v>
      </c>
      <c r="N8" s="157">
        <v>6.64</v>
      </c>
      <c r="O8" s="157">
        <v>7.3</v>
      </c>
      <c r="P8" s="157">
        <v>8.69</v>
      </c>
      <c r="Q8" s="157">
        <v>3</v>
      </c>
      <c r="R8" s="157">
        <v>0.65</v>
      </c>
      <c r="S8" s="158">
        <v>2</v>
      </c>
      <c r="T8" s="158">
        <f t="shared" ref="T8:T14" si="0">(S8+U8)/2</f>
        <v>3.5</v>
      </c>
      <c r="U8" s="158">
        <v>5</v>
      </c>
      <c r="V8" s="156">
        <v>2</v>
      </c>
      <c r="W8" s="159">
        <v>19.600000000000001</v>
      </c>
      <c r="X8" s="159">
        <v>20.97</v>
      </c>
      <c r="Y8" s="159">
        <v>24.23</v>
      </c>
    </row>
    <row r="9" spans="1:25" ht="16.5" thickBot="1" x14ac:dyDescent="0.3">
      <c r="A9" s="156" t="s">
        <v>103</v>
      </c>
      <c r="B9" s="157">
        <v>3.8</v>
      </c>
      <c r="C9" s="157">
        <v>4.01</v>
      </c>
      <c r="D9" s="157">
        <v>4.67</v>
      </c>
      <c r="E9" s="158">
        <v>0.32</v>
      </c>
      <c r="F9" s="158">
        <v>0.4</v>
      </c>
      <c r="G9" s="158">
        <v>0.74</v>
      </c>
      <c r="H9" s="157">
        <v>0.5</v>
      </c>
      <c r="I9" s="157">
        <v>0.56000000000000005</v>
      </c>
      <c r="J9" s="157">
        <v>0.97</v>
      </c>
      <c r="K9" s="158">
        <v>1.02</v>
      </c>
      <c r="L9" s="158">
        <v>1.1100000000000001</v>
      </c>
      <c r="M9" s="158">
        <v>1.21</v>
      </c>
      <c r="N9" s="157">
        <v>6.64</v>
      </c>
      <c r="O9" s="157">
        <v>7.3</v>
      </c>
      <c r="P9" s="157">
        <v>8.69</v>
      </c>
      <c r="Q9" s="157">
        <v>3</v>
      </c>
      <c r="R9" s="157">
        <v>0.65</v>
      </c>
      <c r="S9" s="158">
        <v>2</v>
      </c>
      <c r="T9" s="158">
        <f>(S9+U9)/2</f>
        <v>3.5</v>
      </c>
      <c r="U9" s="158">
        <v>5</v>
      </c>
      <c r="V9" s="156">
        <v>2</v>
      </c>
      <c r="W9" s="159">
        <v>19.600000000000001</v>
      </c>
      <c r="X9" s="159">
        <v>20.97</v>
      </c>
      <c r="Y9" s="159">
        <v>24.23</v>
      </c>
    </row>
    <row r="10" spans="1:25" ht="16.5" thickBot="1" x14ac:dyDescent="0.3">
      <c r="A10" s="156" t="s">
        <v>155</v>
      </c>
      <c r="B10" s="157">
        <v>3.8</v>
      </c>
      <c r="C10" s="157">
        <v>4.01</v>
      </c>
      <c r="D10" s="157">
        <v>4.67</v>
      </c>
      <c r="E10" s="158">
        <v>0.32</v>
      </c>
      <c r="F10" s="158">
        <v>0.4</v>
      </c>
      <c r="G10" s="158">
        <v>0.74</v>
      </c>
      <c r="H10" s="157">
        <v>0.5</v>
      </c>
      <c r="I10" s="157">
        <v>0.56000000000000005</v>
      </c>
      <c r="J10" s="157">
        <v>0.97</v>
      </c>
      <c r="K10" s="158">
        <v>1.02</v>
      </c>
      <c r="L10" s="158">
        <v>1.1100000000000001</v>
      </c>
      <c r="M10" s="158">
        <v>1.21</v>
      </c>
      <c r="N10" s="157">
        <v>6.64</v>
      </c>
      <c r="O10" s="157">
        <v>7.3</v>
      </c>
      <c r="P10" s="157">
        <v>8.69</v>
      </c>
      <c r="Q10" s="157">
        <v>3</v>
      </c>
      <c r="R10" s="157">
        <v>0.65</v>
      </c>
      <c r="S10" s="158">
        <v>2</v>
      </c>
      <c r="T10" s="158">
        <f t="shared" si="0"/>
        <v>3.5</v>
      </c>
      <c r="U10" s="158">
        <v>5</v>
      </c>
      <c r="V10" s="156">
        <v>2</v>
      </c>
      <c r="W10" s="159">
        <v>19.600000000000001</v>
      </c>
      <c r="X10" s="159">
        <v>20.97</v>
      </c>
      <c r="Y10" s="159">
        <v>24.23</v>
      </c>
    </row>
    <row r="11" spans="1:25" ht="16.5" thickBot="1" x14ac:dyDescent="0.3">
      <c r="A11" s="156" t="s">
        <v>156</v>
      </c>
      <c r="B11" s="157">
        <v>3.43</v>
      </c>
      <c r="C11" s="157">
        <v>4.93</v>
      </c>
      <c r="D11" s="157">
        <v>6.71</v>
      </c>
      <c r="E11" s="158">
        <v>0.28000000000000003</v>
      </c>
      <c r="F11" s="158">
        <v>0.49</v>
      </c>
      <c r="G11" s="158">
        <v>0.75</v>
      </c>
      <c r="H11" s="157">
        <v>1</v>
      </c>
      <c r="I11" s="157">
        <v>1.39</v>
      </c>
      <c r="J11" s="157">
        <v>1.74</v>
      </c>
      <c r="K11" s="158">
        <v>0.94</v>
      </c>
      <c r="L11" s="158">
        <v>0.99</v>
      </c>
      <c r="M11" s="158">
        <v>1.17</v>
      </c>
      <c r="N11" s="157">
        <v>6.74</v>
      </c>
      <c r="O11" s="157">
        <v>8.0399999999999991</v>
      </c>
      <c r="P11" s="157">
        <v>9.4</v>
      </c>
      <c r="Q11" s="157">
        <v>3</v>
      </c>
      <c r="R11" s="157">
        <v>0.65</v>
      </c>
      <c r="S11" s="158">
        <v>2</v>
      </c>
      <c r="T11" s="158">
        <f t="shared" si="0"/>
        <v>3.5</v>
      </c>
      <c r="U11" s="158">
        <v>5</v>
      </c>
      <c r="V11" s="156">
        <v>2</v>
      </c>
      <c r="W11" s="159">
        <v>20.76</v>
      </c>
      <c r="X11" s="159">
        <v>24.18</v>
      </c>
      <c r="Y11" s="159">
        <v>26.44</v>
      </c>
    </row>
    <row r="12" spans="1:25" ht="16.5" thickBot="1" x14ac:dyDescent="0.3">
      <c r="A12" s="156" t="s">
        <v>157</v>
      </c>
      <c r="B12" s="157">
        <v>5.29</v>
      </c>
      <c r="C12" s="157">
        <v>5.92</v>
      </c>
      <c r="D12" s="157">
        <v>7.93</v>
      </c>
      <c r="E12" s="158">
        <v>0.25</v>
      </c>
      <c r="F12" s="158">
        <v>0.51</v>
      </c>
      <c r="G12" s="158">
        <v>0.56000000000000005</v>
      </c>
      <c r="H12" s="157">
        <v>1</v>
      </c>
      <c r="I12" s="157">
        <v>1.48</v>
      </c>
      <c r="J12" s="157">
        <v>1.97</v>
      </c>
      <c r="K12" s="158">
        <v>1.01</v>
      </c>
      <c r="L12" s="158">
        <v>1.07</v>
      </c>
      <c r="M12" s="158">
        <v>1.1100000000000001</v>
      </c>
      <c r="N12" s="157">
        <v>8</v>
      </c>
      <c r="O12" s="157">
        <v>8.31</v>
      </c>
      <c r="P12" s="157">
        <v>9.51</v>
      </c>
      <c r="Q12" s="157">
        <v>3</v>
      </c>
      <c r="R12" s="157">
        <v>0.65</v>
      </c>
      <c r="S12" s="158">
        <v>2</v>
      </c>
      <c r="T12" s="158">
        <f t="shared" si="0"/>
        <v>3.5</v>
      </c>
      <c r="U12" s="158">
        <v>5</v>
      </c>
      <c r="V12" s="156">
        <v>2</v>
      </c>
      <c r="W12" s="159">
        <v>24</v>
      </c>
      <c r="X12" s="159">
        <v>25.84</v>
      </c>
      <c r="Y12" s="159">
        <v>27.86</v>
      </c>
    </row>
    <row r="13" spans="1:25" ht="16.5" thickBot="1" x14ac:dyDescent="0.3">
      <c r="A13" s="156" t="s">
        <v>158</v>
      </c>
      <c r="B13" s="157">
        <v>4</v>
      </c>
      <c r="C13" s="157">
        <v>5.52</v>
      </c>
      <c r="D13" s="157">
        <v>7.85</v>
      </c>
      <c r="E13" s="158">
        <v>0.81</v>
      </c>
      <c r="F13" s="158">
        <v>1.22</v>
      </c>
      <c r="G13" s="158">
        <v>1.99</v>
      </c>
      <c r="H13" s="157">
        <v>1.46</v>
      </c>
      <c r="I13" s="157">
        <v>2.3199999999999998</v>
      </c>
      <c r="J13" s="157">
        <v>3.16</v>
      </c>
      <c r="K13" s="158">
        <v>0.94</v>
      </c>
      <c r="L13" s="158">
        <v>1.02</v>
      </c>
      <c r="M13" s="158">
        <v>1.33</v>
      </c>
      <c r="N13" s="157">
        <v>7.14</v>
      </c>
      <c r="O13" s="157">
        <v>8.4</v>
      </c>
      <c r="P13" s="157">
        <v>10.43</v>
      </c>
      <c r="Q13" s="157">
        <v>3</v>
      </c>
      <c r="R13" s="157">
        <v>0.65</v>
      </c>
      <c r="S13" s="158">
        <v>2</v>
      </c>
      <c r="T13" s="158">
        <f t="shared" si="0"/>
        <v>3.5</v>
      </c>
      <c r="U13" s="158">
        <v>5</v>
      </c>
      <c r="V13" s="156">
        <v>2</v>
      </c>
      <c r="W13" s="159">
        <v>22.8</v>
      </c>
      <c r="X13" s="159">
        <v>27.48</v>
      </c>
      <c r="Y13" s="159">
        <v>30.95</v>
      </c>
    </row>
    <row r="14" spans="1:25" ht="16.5" thickBot="1" x14ac:dyDescent="0.3">
      <c r="A14" s="156" t="s">
        <v>159</v>
      </c>
      <c r="B14" s="157">
        <v>1.5</v>
      </c>
      <c r="C14" s="157">
        <v>3.45</v>
      </c>
      <c r="D14" s="157">
        <v>4.49</v>
      </c>
      <c r="E14" s="158">
        <v>0.3</v>
      </c>
      <c r="F14" s="158">
        <v>0.48</v>
      </c>
      <c r="G14" s="158">
        <v>0.82</v>
      </c>
      <c r="H14" s="157">
        <v>0.56000000000000005</v>
      </c>
      <c r="I14" s="157">
        <v>0.85</v>
      </c>
      <c r="J14" s="157">
        <v>0.89</v>
      </c>
      <c r="K14" s="158">
        <v>0.85</v>
      </c>
      <c r="L14" s="158">
        <v>0.85</v>
      </c>
      <c r="M14" s="158">
        <v>1.1100000000000001</v>
      </c>
      <c r="N14" s="157">
        <v>3.5</v>
      </c>
      <c r="O14" s="157">
        <v>5.1100000000000003</v>
      </c>
      <c r="P14" s="157">
        <v>6.22</v>
      </c>
      <c r="Q14" s="157">
        <v>3</v>
      </c>
      <c r="R14" s="157">
        <v>0.65</v>
      </c>
      <c r="S14" s="158">
        <v>2</v>
      </c>
      <c r="T14" s="158">
        <f t="shared" si="0"/>
        <v>3.5</v>
      </c>
      <c r="U14" s="158">
        <v>5</v>
      </c>
      <c r="V14" s="156">
        <v>2</v>
      </c>
      <c r="W14" s="159">
        <v>11.1</v>
      </c>
      <c r="X14" s="159">
        <v>14.02</v>
      </c>
      <c r="Y14" s="159">
        <v>16.8</v>
      </c>
    </row>
    <row r="17" spans="2:12" ht="12.75" customHeight="1" x14ac:dyDescent="0.2">
      <c r="B17" s="403"/>
      <c r="C17" s="403"/>
      <c r="D17" s="403"/>
      <c r="F17" s="403"/>
      <c r="G17" s="403"/>
      <c r="H17" s="403"/>
      <c r="J17" s="403"/>
      <c r="K17" s="403"/>
      <c r="L17" s="403"/>
    </row>
    <row r="18" spans="2:12" x14ac:dyDescent="0.2">
      <c r="B18" s="403"/>
      <c r="C18" s="403"/>
      <c r="D18" s="403"/>
      <c r="F18" s="403"/>
      <c r="G18" s="403"/>
      <c r="H18" s="403"/>
      <c r="J18" s="403"/>
      <c r="K18" s="403"/>
      <c r="L18" s="403"/>
    </row>
  </sheetData>
  <sheetProtection password="D921" sheet="1" formatCells="0" formatColumns="0" formatRows="0" insertColumns="0" insertRows="0" insertHyperlinks="0" deleteColumns="0" deleteRows="0" sort="0" autoFilter="0" pivotTables="0"/>
  <mergeCells count="13">
    <mergeCell ref="V5:V6"/>
    <mergeCell ref="W5:Y5"/>
    <mergeCell ref="B17:D18"/>
    <mergeCell ref="F17:H18"/>
    <mergeCell ref="J17:L18"/>
    <mergeCell ref="B5:D5"/>
    <mergeCell ref="E5:G5"/>
    <mergeCell ref="H5:J5"/>
    <mergeCell ref="K5:M5"/>
    <mergeCell ref="N5:P5"/>
    <mergeCell ref="Q5:Q6"/>
    <mergeCell ref="R5:R6"/>
    <mergeCell ref="S5:U5"/>
  </mergeCells>
  <pageMargins left="0.78740157499999996" right="0.78740157499999996" top="0.984251969" bottom="0.984251969" header="0.49212598499999999" footer="0.49212598499999999"/>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7</vt:i4>
      </vt:variant>
    </vt:vector>
  </HeadingPairs>
  <TitlesOfParts>
    <vt:vector size="13" baseType="lpstr">
      <vt:lpstr>MEMÓRIA</vt:lpstr>
      <vt:lpstr>PLANILHA</vt:lpstr>
      <vt:lpstr>CRONOGRAMA</vt:lpstr>
      <vt:lpstr>FOTOS</vt:lpstr>
      <vt:lpstr>BDI</vt:lpstr>
      <vt:lpstr>Base dados - TCU 2622_2013</vt:lpstr>
      <vt:lpstr>BDI!Area_de_impressao</vt:lpstr>
      <vt:lpstr>CRONOGRAMA!Area_de_impressao</vt:lpstr>
      <vt:lpstr>FOTOS!Area_de_impressao</vt:lpstr>
      <vt:lpstr>MEMÓRIA!Area_de_impressao</vt:lpstr>
      <vt:lpstr>PLANILHA!Area_de_impressao</vt:lpstr>
      <vt:lpstr>sigla_obras</vt:lpstr>
      <vt:lpstr>sigla_sn</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licita02</cp:lastModifiedBy>
  <cp:lastPrinted>2026-08-25T13:54:22Z</cp:lastPrinted>
  <dcterms:created xsi:type="dcterms:W3CDTF">2006-09-22T13:55:22Z</dcterms:created>
  <dcterms:modified xsi:type="dcterms:W3CDTF">2026-08-25T13:54:42Z</dcterms:modified>
</cp:coreProperties>
</file>