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trlProps/ctrlProp1.xml" ContentType="application/vnd.ms-excel.controlproperti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trlProps/ctrlProp2.xml" ContentType="application/vnd.ms-excel.controlproperties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trlProps/ctrlProp3.xml" ContentType="application/vnd.ms-excel.controlproperties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C:\Users\Informatiza\Downloads\"/>
    </mc:Choice>
  </mc:AlternateContent>
  <xr:revisionPtr revIDLastSave="0" documentId="8_{922AB030-684B-4428-8D60-DF10DCAEE40E}" xr6:coauthVersionLast="47" xr6:coauthVersionMax="47" xr10:uidLastSave="{00000000-0000-0000-0000-000000000000}"/>
  <bookViews>
    <workbookView xWindow="-120" yWindow="-120" windowWidth="29040" windowHeight="15720" tabRatio="706" activeTab="4" xr2:uid="{C448D1BB-41BF-4BAA-A3E0-40F40797A19E}"/>
  </bookViews>
  <sheets>
    <sheet name="MEM" sheetId="8" r:id="rId1"/>
    <sheet name="PLAN" sheetId="5" r:id="rId2"/>
    <sheet name="CRON1" sheetId="7" r:id="rId3"/>
    <sheet name="CRON2" sheetId="20" r:id="rId4"/>
    <sheet name="FOTOS" sheetId="19" r:id="rId5"/>
    <sheet name="BDI" sheetId="10" r:id="rId6"/>
    <sheet name="BDI-Dados" sheetId="11" r:id="rId7"/>
    <sheet name="BM 01" sheetId="12" r:id="rId8"/>
    <sheet name="BM 01-Fot" sheetId="13" r:id="rId9"/>
    <sheet name="BM 02" sheetId="15" r:id="rId10"/>
    <sheet name="BM 02-Fot" sheetId="18" r:id="rId11"/>
    <sheet name="ADIT" sheetId="14" r:id="rId12"/>
  </sheets>
  <externalReferences>
    <externalReference r:id="rId13"/>
    <externalReference r:id="rId14"/>
  </externalReferences>
  <definedNames>
    <definedName name="_xlnm.Print_Area" localSheetId="11">ADIT!$A$1:$J$51</definedName>
    <definedName name="_xlnm.Print_Area" localSheetId="5">BDI!$A$2:$E$47</definedName>
    <definedName name="_xlnm.Print_Area" localSheetId="7">'BM 01'!$A$1:$AF$72</definedName>
    <definedName name="_xlnm.Print_Area" localSheetId="8">'BM 01-Fot'!$A$1:$L$55</definedName>
    <definedName name="_xlnm.Print_Area" localSheetId="9">'BM 02'!$A$1:$AE$72</definedName>
    <definedName name="_xlnm.Print_Area" localSheetId="10">'BM 02-Fot'!$A$1:$L$55</definedName>
    <definedName name="_xlnm.Print_Area" localSheetId="2">CRON1!$A$2:$K$62</definedName>
    <definedName name="_xlnm.Print_Area" localSheetId="3">CRON2!$A$2:$K$62</definedName>
    <definedName name="_xlnm.Print_Area" localSheetId="4">FOTOS!$A$1:$L$53</definedName>
    <definedName name="_xlnm.Print_Area" localSheetId="0">MEM!$A$1:$L$85</definedName>
    <definedName name="_xlnm.Print_Area" localSheetId="1">PLAN!$A$1:$H$91</definedName>
    <definedName name="NOME1" localSheetId="11">#REF!</definedName>
    <definedName name="NOME1" localSheetId="7">#REF!</definedName>
    <definedName name="NOME1" localSheetId="8">#REF!</definedName>
    <definedName name="NOME1" localSheetId="9">#REF!</definedName>
    <definedName name="NOME1" localSheetId="10">#REF!</definedName>
    <definedName name="NOME1" localSheetId="4">#REF!</definedName>
    <definedName name="NOME1">#REF!</definedName>
    <definedName name="NOME2" localSheetId="11">#REF!</definedName>
    <definedName name="NOME2" localSheetId="7">#REF!</definedName>
    <definedName name="NOME2" localSheetId="8">#REF!</definedName>
    <definedName name="NOME2" localSheetId="9">#REF!</definedName>
    <definedName name="NOME2" localSheetId="10">#REF!</definedName>
    <definedName name="NOME2" localSheetId="4">#REF!</definedName>
    <definedName name="NOME2">#REF!</definedName>
    <definedName name="Print_Area" localSheetId="7">'BM 01'!$A$1:$O$72</definedName>
    <definedName name="Print_Area" localSheetId="8">'BM 01-Fot'!$A$1:$L$55</definedName>
    <definedName name="Print_Area" localSheetId="9">'BM 02'!$A$1:$N$72</definedName>
    <definedName name="Print_Area" localSheetId="10">'BM 02-Fot'!$A$1:$L$55</definedName>
    <definedName name="Print_Area" localSheetId="4">FOTOS!$A$1:$L$53</definedName>
    <definedName name="Print_Titles" localSheetId="8">'BM 01-Fot'!$1:$6</definedName>
    <definedName name="Print_Titles" localSheetId="10">'BM 02-Fot'!$1:$6</definedName>
    <definedName name="Print_Titles" localSheetId="4">FOTOS!$1:$4</definedName>
    <definedName name="sigla_obras" localSheetId="7">'[1]Base dados - TCU 2622_2013'!$A$7:$A$14</definedName>
    <definedName name="sigla_obras" localSheetId="8">'[1]Base dados - TCU 2622_2013'!$A$7:$A$14</definedName>
    <definedName name="sigla_obras" localSheetId="9">'[1]Base dados - TCU 2622_2013'!$A$7:$A$14</definedName>
    <definedName name="sigla_obras" localSheetId="10">'[1]Base dados - TCU 2622_2013'!$A$7:$A$14</definedName>
    <definedName name="sigla_obras" localSheetId="4">'[1]Base dados - TCU 2622_2013'!$A$7:$A$14</definedName>
    <definedName name="sigla_obras">'BDI-Dados'!$A$7:$A$14</definedName>
    <definedName name="sigla_sn" localSheetId="7">'[1]Base dados - TCU 2622_2013'!$A$2:$A$3</definedName>
    <definedName name="sigla_sn" localSheetId="8">'[1]Base dados - TCU 2622_2013'!$A$2:$A$3</definedName>
    <definedName name="sigla_sn" localSheetId="9">'[1]Base dados - TCU 2622_2013'!$A$2:$A$3</definedName>
    <definedName name="sigla_sn" localSheetId="10">'[1]Base dados - TCU 2622_2013'!$A$2:$A$3</definedName>
    <definedName name="sigla_sn" localSheetId="4">'[1]Base dados - TCU 2622_2013'!$A$2:$A$3</definedName>
    <definedName name="sigla_sn">'BDI-Dados'!$A$2:$A$3</definedName>
    <definedName name="_xlnm.Print_Titles" localSheetId="11">ADIT!$1:$7</definedName>
    <definedName name="_xlnm.Print_Titles" localSheetId="7">'BM 01'!$1:$7</definedName>
    <definedName name="_xlnm.Print_Titles" localSheetId="8">'BM 01-Fot'!$1:$6</definedName>
    <definedName name="_xlnm.Print_Titles" localSheetId="9">'BM 02'!$1:$7</definedName>
    <definedName name="_xlnm.Print_Titles" localSheetId="10">'BM 02-Fot'!$1:$6</definedName>
    <definedName name="_xlnm.Print_Titles" localSheetId="0">MEM!$1:$5</definedName>
    <definedName name="_xlnm.Print_Titles" localSheetId="1">PLAN!$1:$7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7" i="5" l="1"/>
  <c r="L79" i="8"/>
  <c r="L78" i="8"/>
  <c r="L75" i="8" s="1"/>
  <c r="E77" i="5" s="1"/>
  <c r="L77" i="8"/>
  <c r="L35" i="8"/>
  <c r="L33" i="8"/>
  <c r="N79" i="8"/>
  <c r="E51" i="5"/>
  <c r="E52" i="5"/>
  <c r="E53" i="5"/>
  <c r="E54" i="5"/>
  <c r="E55" i="5"/>
  <c r="E56" i="5"/>
  <c r="E57" i="5"/>
  <c r="E58" i="5"/>
  <c r="E59" i="5"/>
  <c r="E60" i="5"/>
  <c r="E61" i="5"/>
  <c r="E62" i="5"/>
  <c r="E63" i="5"/>
  <c r="E64" i="5"/>
  <c r="E65" i="5"/>
  <c r="E66" i="5"/>
  <c r="E67" i="5"/>
  <c r="E68" i="5"/>
  <c r="E69" i="5"/>
  <c r="E70" i="5"/>
  <c r="E71" i="5"/>
  <c r="E72" i="5"/>
  <c r="E73" i="5"/>
  <c r="E79" i="5"/>
  <c r="E82" i="5"/>
  <c r="E83" i="5"/>
  <c r="J76" i="8"/>
  <c r="K80" i="8"/>
  <c r="K81" i="8"/>
  <c r="J80" i="8"/>
  <c r="B80" i="8"/>
  <c r="A80" i="8"/>
  <c r="A81" i="8"/>
  <c r="M79" i="8"/>
  <c r="J75" i="8"/>
  <c r="J77" i="8"/>
  <c r="K75" i="8"/>
  <c r="K76" i="8"/>
  <c r="K77" i="8"/>
  <c r="B75" i="8"/>
  <c r="B76" i="8"/>
  <c r="B77" i="8"/>
  <c r="A75" i="8"/>
  <c r="A76" i="8"/>
  <c r="A77" i="8"/>
  <c r="E38" i="5"/>
  <c r="G82" i="5"/>
  <c r="H82" i="5" s="1"/>
  <c r="G77" i="5"/>
  <c r="G78" i="5"/>
  <c r="L72" i="8" l="1"/>
  <c r="E74" i="5" s="1"/>
  <c r="L76" i="8"/>
  <c r="E78" i="5" s="1"/>
  <c r="E80" i="5"/>
  <c r="L74" i="8"/>
  <c r="E76" i="5" s="1"/>
  <c r="E81" i="5"/>
  <c r="H78" i="5"/>
  <c r="G79" i="5" l="1"/>
  <c r="H79" i="5" s="1"/>
  <c r="L40" i="8"/>
  <c r="E42" i="5" s="1"/>
  <c r="B33" i="7"/>
  <c r="B31" i="7"/>
  <c r="B29" i="7"/>
  <c r="B27" i="7"/>
  <c r="B25" i="7"/>
  <c r="B23" i="7"/>
  <c r="B21" i="7"/>
  <c r="B19" i="7"/>
  <c r="B17" i="7"/>
  <c r="B15" i="7"/>
  <c r="B13" i="7"/>
  <c r="B11" i="7"/>
  <c r="B9" i="7"/>
  <c r="B7" i="7"/>
  <c r="A33" i="7"/>
  <c r="A31" i="7"/>
  <c r="A29" i="7"/>
  <c r="A27" i="7"/>
  <c r="A25" i="7"/>
  <c r="A23" i="7"/>
  <c r="A21" i="7"/>
  <c r="A19" i="7"/>
  <c r="A17" i="7"/>
  <c r="A15" i="7"/>
  <c r="A13" i="7"/>
  <c r="K54" i="8"/>
  <c r="L54" i="8"/>
  <c r="A54" i="8"/>
  <c r="B54" i="8"/>
  <c r="E12" i="5"/>
  <c r="E14" i="5"/>
  <c r="K14" i="5" s="1"/>
  <c r="E15" i="5"/>
  <c r="E16" i="5"/>
  <c r="E17" i="5"/>
  <c r="E21" i="5"/>
  <c r="E23" i="5"/>
  <c r="E28" i="5"/>
  <c r="E30" i="5"/>
  <c r="E32" i="5"/>
  <c r="E39" i="5"/>
  <c r="E40" i="5"/>
  <c r="E43" i="5"/>
  <c r="E48" i="5"/>
  <c r="E49" i="5"/>
  <c r="E50" i="5"/>
  <c r="N61" i="8"/>
  <c r="O61" i="8"/>
  <c r="N59" i="8"/>
  <c r="J56" i="8"/>
  <c r="J55" i="8"/>
  <c r="J53" i="8"/>
  <c r="J45" i="8"/>
  <c r="M35" i="8"/>
  <c r="E37" i="5" s="1"/>
  <c r="L34" i="8"/>
  <c r="E36" i="5" s="1"/>
  <c r="L16" i="8"/>
  <c r="L17" i="8" s="1"/>
  <c r="L18" i="8" s="1"/>
  <c r="E20" i="5" s="1"/>
  <c r="L31" i="8"/>
  <c r="L32" i="8" s="1"/>
  <c r="E34" i="5" s="1"/>
  <c r="E41" i="5"/>
  <c r="L49" i="8"/>
  <c r="L50" i="8" s="1"/>
  <c r="L51" i="8" s="1"/>
  <c r="J64" i="8"/>
  <c r="B64" i="8"/>
  <c r="A64" i="8"/>
  <c r="K26" i="8"/>
  <c r="B26" i="8"/>
  <c r="A26" i="8"/>
  <c r="B57" i="8"/>
  <c r="H77" i="5"/>
  <c r="K63" i="8"/>
  <c r="J63" i="8"/>
  <c r="B63" i="8"/>
  <c r="A63" i="8"/>
  <c r="G65" i="5"/>
  <c r="E33" i="5" l="1"/>
  <c r="E19" i="5"/>
  <c r="E18" i="5"/>
  <c r="L56" i="8"/>
  <c r="K55" i="8"/>
  <c r="B55" i="8"/>
  <c r="A55" i="8"/>
  <c r="G57" i="5"/>
  <c r="K39" i="8"/>
  <c r="B39" i="8"/>
  <c r="A39" i="8"/>
  <c r="G41" i="5"/>
  <c r="L67" i="8"/>
  <c r="M58" i="8"/>
  <c r="L53" i="8"/>
  <c r="L45" i="8"/>
  <c r="E47" i="5" s="1"/>
  <c r="M42" i="8"/>
  <c r="L42" i="8" s="1"/>
  <c r="E44" i="5" s="1"/>
  <c r="N44" i="8"/>
  <c r="N24" i="8"/>
  <c r="J25" i="8"/>
  <c r="L29" i="8"/>
  <c r="E31" i="5" s="1"/>
  <c r="J38" i="8"/>
  <c r="M22" i="8"/>
  <c r="J20" i="8"/>
  <c r="J81" i="8"/>
  <c r="L69" i="8"/>
  <c r="J73" i="8"/>
  <c r="J74" i="8"/>
  <c r="J78" i="8"/>
  <c r="L73" i="8" l="1"/>
  <c r="E75" i="5" s="1"/>
  <c r="M62" i="8"/>
  <c r="L62" i="8" s="1"/>
  <c r="L58" i="8"/>
  <c r="M25" i="8"/>
  <c r="L25" i="8" s="1"/>
  <c r="E27" i="5" s="1"/>
  <c r="L22" i="8"/>
  <c r="E24" i="5" s="1"/>
  <c r="L20" i="8"/>
  <c r="E22" i="5" s="1"/>
  <c r="L63" i="8"/>
  <c r="M59" i="8"/>
  <c r="H41" i="5"/>
  <c r="H57" i="5"/>
  <c r="M44" i="8"/>
  <c r="L44" i="8" s="1"/>
  <c r="E46" i="5" s="1"/>
  <c r="H65" i="5" l="1"/>
  <c r="L43" i="8"/>
  <c r="E45" i="5" s="1"/>
  <c r="L59" i="8"/>
  <c r="M61" i="8"/>
  <c r="L61" i="8" s="1"/>
  <c r="L60" i="8" l="1"/>
  <c r="M71" i="8"/>
  <c r="N70" i="8"/>
  <c r="M70" i="8"/>
  <c r="K71" i="8"/>
  <c r="B71" i="8"/>
  <c r="A71" i="8"/>
  <c r="K70" i="8"/>
  <c r="B70" i="8"/>
  <c r="A70" i="8"/>
  <c r="G72" i="5"/>
  <c r="G73" i="5"/>
  <c r="J60" i="8"/>
  <c r="J50" i="8"/>
  <c r="J51" i="8"/>
  <c r="J49" i="8"/>
  <c r="J48" i="8"/>
  <c r="J43" i="8"/>
  <c r="J32" i="8"/>
  <c r="K8" i="8"/>
  <c r="K9" i="8"/>
  <c r="K10" i="8"/>
  <c r="K11" i="8"/>
  <c r="K12" i="8"/>
  <c r="K13" i="8"/>
  <c r="K14" i="8"/>
  <c r="K15" i="8"/>
  <c r="K16" i="8"/>
  <c r="K17" i="8"/>
  <c r="K18" i="8"/>
  <c r="K19" i="8"/>
  <c r="K20" i="8"/>
  <c r="K21" i="8"/>
  <c r="K22" i="8"/>
  <c r="K23" i="8"/>
  <c r="K24" i="8"/>
  <c r="K25" i="8"/>
  <c r="K27" i="8"/>
  <c r="K28" i="8"/>
  <c r="K29" i="8"/>
  <c r="K30" i="8"/>
  <c r="K31" i="8"/>
  <c r="K32" i="8"/>
  <c r="K33" i="8"/>
  <c r="K34" i="8"/>
  <c r="K35" i="8"/>
  <c r="K36" i="8"/>
  <c r="K37" i="8"/>
  <c r="K38" i="8"/>
  <c r="K40" i="8"/>
  <c r="K41" i="8"/>
  <c r="K42" i="8"/>
  <c r="K43" i="8"/>
  <c r="K44" i="8"/>
  <c r="K45" i="8"/>
  <c r="K46" i="8"/>
  <c r="K47" i="8"/>
  <c r="K48" i="8"/>
  <c r="K49" i="8"/>
  <c r="K50" i="8"/>
  <c r="K51" i="8"/>
  <c r="K52" i="8"/>
  <c r="K53" i="8"/>
  <c r="K56" i="8"/>
  <c r="K57" i="8"/>
  <c r="K58" i="8"/>
  <c r="K59" i="8"/>
  <c r="K60" i="8"/>
  <c r="K61" i="8"/>
  <c r="K62" i="8"/>
  <c r="K65" i="8"/>
  <c r="K66" i="8"/>
  <c r="K67" i="8"/>
  <c r="K68" i="8"/>
  <c r="K69" i="8"/>
  <c r="K72" i="8"/>
  <c r="K73" i="8"/>
  <c r="K74" i="8"/>
  <c r="K78" i="8"/>
  <c r="K79" i="8"/>
  <c r="L70" i="8" l="1"/>
  <c r="H72" i="5"/>
  <c r="L71" i="8"/>
  <c r="M27" i="8"/>
  <c r="L27" i="8" s="1"/>
  <c r="E29" i="5" s="1"/>
  <c r="M24" i="8"/>
  <c r="L24" i="8" s="1"/>
  <c r="E26" i="5" s="1"/>
  <c r="J27" i="8"/>
  <c r="J23" i="8"/>
  <c r="J18" i="8"/>
  <c r="J17" i="8"/>
  <c r="J16" i="8"/>
  <c r="J15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7" i="8"/>
  <c r="B28" i="8"/>
  <c r="B29" i="8"/>
  <c r="B30" i="8"/>
  <c r="B31" i="8"/>
  <c r="B32" i="8"/>
  <c r="B33" i="8"/>
  <c r="B34" i="8"/>
  <c r="B35" i="8"/>
  <c r="B36" i="8"/>
  <c r="B37" i="8"/>
  <c r="B38" i="8"/>
  <c r="B40" i="8"/>
  <c r="B41" i="8"/>
  <c r="B42" i="8"/>
  <c r="B43" i="8"/>
  <c r="B44" i="8"/>
  <c r="B45" i="8"/>
  <c r="B46" i="8"/>
  <c r="B47" i="8"/>
  <c r="B48" i="8"/>
  <c r="B49" i="8"/>
  <c r="B50" i="8"/>
  <c r="B51" i="8"/>
  <c r="B52" i="8"/>
  <c r="B53" i="8"/>
  <c r="B56" i="8"/>
  <c r="B58" i="8"/>
  <c r="B59" i="8"/>
  <c r="B60" i="8"/>
  <c r="B61" i="8"/>
  <c r="B62" i="8"/>
  <c r="B65" i="8"/>
  <c r="B66" i="8"/>
  <c r="B67" i="8"/>
  <c r="B68" i="8"/>
  <c r="B69" i="8"/>
  <c r="B72" i="8"/>
  <c r="B73" i="8"/>
  <c r="B74" i="8"/>
  <c r="B78" i="8"/>
  <c r="B79" i="8"/>
  <c r="B81" i="8"/>
  <c r="A68" i="8"/>
  <c r="A69" i="8"/>
  <c r="A72" i="8"/>
  <c r="A73" i="8"/>
  <c r="A74" i="8"/>
  <c r="A78" i="8"/>
  <c r="A79" i="8"/>
  <c r="A12" i="8"/>
  <c r="A13" i="8"/>
  <c r="A14" i="8"/>
  <c r="A15" i="8"/>
  <c r="A16" i="8"/>
  <c r="A17" i="8"/>
  <c r="A18" i="8"/>
  <c r="A19" i="8"/>
  <c r="A20" i="8"/>
  <c r="A21" i="8"/>
  <c r="A22" i="8"/>
  <c r="A23" i="8"/>
  <c r="A24" i="8"/>
  <c r="A25" i="8"/>
  <c r="A27" i="8"/>
  <c r="A28" i="8"/>
  <c r="A29" i="8"/>
  <c r="A30" i="8"/>
  <c r="A31" i="8"/>
  <c r="A32" i="8"/>
  <c r="A33" i="8"/>
  <c r="A34" i="8"/>
  <c r="A35" i="8"/>
  <c r="A36" i="8"/>
  <c r="A37" i="8"/>
  <c r="A38" i="8"/>
  <c r="A40" i="8"/>
  <c r="A41" i="8"/>
  <c r="A42" i="8"/>
  <c r="A43" i="8"/>
  <c r="A44" i="8"/>
  <c r="A45" i="8"/>
  <c r="A46" i="8"/>
  <c r="A47" i="8"/>
  <c r="A48" i="8"/>
  <c r="A49" i="8"/>
  <c r="A50" i="8"/>
  <c r="A51" i="8"/>
  <c r="A52" i="8"/>
  <c r="A53" i="8"/>
  <c r="A56" i="8"/>
  <c r="A57" i="8"/>
  <c r="A58" i="8"/>
  <c r="A59" i="8"/>
  <c r="A60" i="8"/>
  <c r="A61" i="8"/>
  <c r="A62" i="8"/>
  <c r="A65" i="8"/>
  <c r="A66" i="8"/>
  <c r="A67" i="8"/>
  <c r="G83" i="5"/>
  <c r="H83" i="5" s="1"/>
  <c r="G81" i="5"/>
  <c r="H81" i="5" s="1"/>
  <c r="G80" i="5"/>
  <c r="H80" i="5" s="1"/>
  <c r="G76" i="5"/>
  <c r="H76" i="5" s="1"/>
  <c r="G75" i="5"/>
  <c r="H75" i="5" s="1"/>
  <c r="G74" i="5"/>
  <c r="H74" i="5" s="1"/>
  <c r="G71" i="5"/>
  <c r="H71" i="5" s="1"/>
  <c r="G70" i="5"/>
  <c r="H70" i="5" s="1"/>
  <c r="G69" i="5"/>
  <c r="H69" i="5" s="1"/>
  <c r="G68" i="5"/>
  <c r="H68" i="5" s="1"/>
  <c r="G67" i="5"/>
  <c r="H67" i="5" s="1"/>
  <c r="G64" i="5"/>
  <c r="H64" i="5" s="1"/>
  <c r="G63" i="5"/>
  <c r="H63" i="5" s="1"/>
  <c r="G62" i="5"/>
  <c r="H62" i="5" s="1"/>
  <c r="G61" i="5"/>
  <c r="H61" i="5" s="1"/>
  <c r="G60" i="5"/>
  <c r="H60" i="5" s="1"/>
  <c r="G59" i="5"/>
  <c r="H59" i="5" s="1"/>
  <c r="G58" i="5"/>
  <c r="H58" i="5" s="1"/>
  <c r="G55" i="5"/>
  <c r="H55" i="5" s="1"/>
  <c r="G54" i="5"/>
  <c r="H54" i="5" s="1"/>
  <c r="G56" i="5"/>
  <c r="H56" i="5" s="1"/>
  <c r="G53" i="5"/>
  <c r="H53" i="5" s="1"/>
  <c r="G52" i="5"/>
  <c r="H52" i="5" s="1"/>
  <c r="G51" i="5"/>
  <c r="H51" i="5" s="1"/>
  <c r="G50" i="5"/>
  <c r="H50" i="5" s="1"/>
  <c r="G49" i="5"/>
  <c r="H49" i="5" s="1"/>
  <c r="G48" i="5"/>
  <c r="H48" i="5" s="1"/>
  <c r="G47" i="5"/>
  <c r="H47" i="5" s="1"/>
  <c r="G46" i="5"/>
  <c r="G45" i="5"/>
  <c r="G44" i="5"/>
  <c r="H44" i="5" s="1"/>
  <c r="G43" i="5"/>
  <c r="H43" i="5" s="1"/>
  <c r="G42" i="5"/>
  <c r="H42" i="5" s="1"/>
  <c r="G40" i="5"/>
  <c r="H40" i="5" s="1"/>
  <c r="G39" i="5"/>
  <c r="H39" i="5" s="1"/>
  <c r="G38" i="5"/>
  <c r="H38" i="5" s="1"/>
  <c r="G37" i="5"/>
  <c r="G36" i="5"/>
  <c r="H36" i="5" s="1"/>
  <c r="G35" i="5"/>
  <c r="G34" i="5"/>
  <c r="G33" i="5"/>
  <c r="G32" i="5"/>
  <c r="H32" i="5" s="1"/>
  <c r="G31" i="5"/>
  <c r="H31" i="5" s="1"/>
  <c r="G30" i="5"/>
  <c r="H30" i="5" s="1"/>
  <c r="G29" i="5"/>
  <c r="G27" i="5"/>
  <c r="G26" i="5"/>
  <c r="G25" i="5"/>
  <c r="G24" i="5"/>
  <c r="G23" i="5"/>
  <c r="H23" i="5" s="1"/>
  <c r="G22" i="5"/>
  <c r="H22" i="5" s="1"/>
  <c r="G21" i="5"/>
  <c r="H21" i="5" s="1"/>
  <c r="G20" i="5"/>
  <c r="H20" i="5" s="1"/>
  <c r="G19" i="5"/>
  <c r="H19" i="5" s="1"/>
  <c r="G18" i="5"/>
  <c r="H18" i="5" s="1"/>
  <c r="G17" i="5"/>
  <c r="H17" i="5" s="1"/>
  <c r="G16" i="5"/>
  <c r="H16" i="5" s="1"/>
  <c r="G15" i="5"/>
  <c r="I69" i="5" l="1"/>
  <c r="E32" i="7" s="1"/>
  <c r="I53" i="5"/>
  <c r="E28" i="7" s="1"/>
  <c r="I42" i="5"/>
  <c r="E22" i="7" s="1"/>
  <c r="I65" i="5"/>
  <c r="E30" i="7" s="1"/>
  <c r="I20" i="5"/>
  <c r="E14" i="7" s="1"/>
  <c r="L23" i="8"/>
  <c r="H45" i="5"/>
  <c r="H73" i="5"/>
  <c r="I83" i="5" s="1"/>
  <c r="E34" i="7" s="1"/>
  <c r="H46" i="5"/>
  <c r="H24" i="5"/>
  <c r="H26" i="5"/>
  <c r="H27" i="5"/>
  <c r="H29" i="5"/>
  <c r="I31" i="5" s="1"/>
  <c r="E18" i="7" s="1"/>
  <c r="J13" i="5"/>
  <c r="E12" i="20"/>
  <c r="J12" i="20" s="1"/>
  <c r="B27" i="20"/>
  <c r="B25" i="20"/>
  <c r="B23" i="20"/>
  <c r="B21" i="20"/>
  <c r="B19" i="20"/>
  <c r="B17" i="20"/>
  <c r="B15" i="20"/>
  <c r="B13" i="20"/>
  <c r="B11" i="20"/>
  <c r="B9" i="20"/>
  <c r="B7" i="20"/>
  <c r="A27" i="20"/>
  <c r="A25" i="20"/>
  <c r="A23" i="20"/>
  <c r="A21" i="20"/>
  <c r="A19" i="20"/>
  <c r="A17" i="20"/>
  <c r="A15" i="20"/>
  <c r="A13" i="20"/>
  <c r="K54" i="20"/>
  <c r="J54" i="20"/>
  <c r="I54" i="20"/>
  <c r="H54" i="20"/>
  <c r="G54" i="20"/>
  <c r="F54" i="20"/>
  <c r="K52" i="20"/>
  <c r="J52" i="20"/>
  <c r="I52" i="20"/>
  <c r="H52" i="20"/>
  <c r="G52" i="20"/>
  <c r="F52" i="20"/>
  <c r="K50" i="20"/>
  <c r="J50" i="20"/>
  <c r="I50" i="20"/>
  <c r="H50" i="20"/>
  <c r="G50" i="20"/>
  <c r="F50" i="20"/>
  <c r="K48" i="20"/>
  <c r="J48" i="20"/>
  <c r="I48" i="20"/>
  <c r="H48" i="20"/>
  <c r="G48" i="20"/>
  <c r="F48" i="20"/>
  <c r="K46" i="20"/>
  <c r="J46" i="20"/>
  <c r="I46" i="20"/>
  <c r="H46" i="20"/>
  <c r="G46" i="20"/>
  <c r="F46" i="20"/>
  <c r="K44" i="20"/>
  <c r="J44" i="20"/>
  <c r="I44" i="20"/>
  <c r="H44" i="20"/>
  <c r="G44" i="20"/>
  <c r="F44" i="20"/>
  <c r="K42" i="20"/>
  <c r="J42" i="20"/>
  <c r="I42" i="20"/>
  <c r="H42" i="20"/>
  <c r="G42" i="20"/>
  <c r="F42" i="20"/>
  <c r="K40" i="20"/>
  <c r="J40" i="20"/>
  <c r="I40" i="20"/>
  <c r="H40" i="20"/>
  <c r="G40" i="20"/>
  <c r="F40" i="20"/>
  <c r="K38" i="20"/>
  <c r="J38" i="20"/>
  <c r="I38" i="20"/>
  <c r="H38" i="20"/>
  <c r="G38" i="20"/>
  <c r="F38" i="20"/>
  <c r="K36" i="20"/>
  <c r="J36" i="20"/>
  <c r="I36" i="20"/>
  <c r="H36" i="20"/>
  <c r="G36" i="20"/>
  <c r="F36" i="20"/>
  <c r="K34" i="20"/>
  <c r="J34" i="20"/>
  <c r="I34" i="20"/>
  <c r="H34" i="20"/>
  <c r="G34" i="20"/>
  <c r="F34" i="20"/>
  <c r="K32" i="20"/>
  <c r="J32" i="20"/>
  <c r="I32" i="20"/>
  <c r="H32" i="20"/>
  <c r="G32" i="20"/>
  <c r="F32" i="20"/>
  <c r="K30" i="20"/>
  <c r="J30" i="20"/>
  <c r="I30" i="20"/>
  <c r="H30" i="20"/>
  <c r="G30" i="20"/>
  <c r="F30" i="20"/>
  <c r="J5" i="20"/>
  <c r="I5" i="20"/>
  <c r="D5" i="20"/>
  <c r="A5" i="20"/>
  <c r="I4" i="20"/>
  <c r="I47" i="5" l="1"/>
  <c r="E24" i="7" s="1"/>
  <c r="F12" i="20"/>
  <c r="G12" i="20"/>
  <c r="E25" i="5"/>
  <c r="H25" i="5" s="1"/>
  <c r="E16" i="7" s="1"/>
  <c r="I12" i="20"/>
  <c r="H12" i="20"/>
  <c r="K12" i="20"/>
  <c r="H15" i="5"/>
  <c r="B7" i="8" l="1"/>
  <c r="B8" i="8"/>
  <c r="B9" i="8"/>
  <c r="B10" i="8"/>
  <c r="B11" i="8"/>
  <c r="A7" i="8"/>
  <c r="A8" i="8"/>
  <c r="A9" i="8"/>
  <c r="A10" i="8"/>
  <c r="A11" i="8"/>
  <c r="E18" i="20" l="1"/>
  <c r="E14" i="20"/>
  <c r="K14" i="20" s="1"/>
  <c r="H18" i="20" l="1"/>
  <c r="K18" i="20"/>
  <c r="G18" i="20"/>
  <c r="F18" i="20"/>
  <c r="J18" i="20"/>
  <c r="I18" i="20"/>
  <c r="E28" i="20"/>
  <c r="K28" i="20" s="1"/>
  <c r="I14" i="20"/>
  <c r="G14" i="20"/>
  <c r="J14" i="20"/>
  <c r="H14" i="20"/>
  <c r="F14" i="20"/>
  <c r="L9" i="8"/>
  <c r="E11" i="5" s="1"/>
  <c r="L8" i="8"/>
  <c r="E10" i="5" s="1"/>
  <c r="L7" i="8"/>
  <c r="L3" i="19"/>
  <c r="A4" i="19"/>
  <c r="A3" i="19"/>
  <c r="L6" i="13" a="1"/>
  <c r="L6" i="13" s="1"/>
  <c r="L5" i="13" a="1"/>
  <c r="L5" i="13" s="1"/>
  <c r="L3" i="18"/>
  <c r="L6" i="18" a="1"/>
  <c r="L6" i="18" s="1"/>
  <c r="L4" i="18" a="1"/>
  <c r="L4" i="18" s="1"/>
  <c r="K6" i="18"/>
  <c r="K5" i="18"/>
  <c r="K4" i="18"/>
  <c r="K3" i="18"/>
  <c r="A6" i="18"/>
  <c r="L5" i="18" a="1"/>
  <c r="L5" i="18" s="1"/>
  <c r="B3" i="18"/>
  <c r="A3" i="18"/>
  <c r="L53" i="7"/>
  <c r="L53" i="20" s="1"/>
  <c r="L51" i="7"/>
  <c r="L51" i="20" s="1"/>
  <c r="L49" i="7"/>
  <c r="L49" i="20" s="1"/>
  <c r="L47" i="7"/>
  <c r="L47" i="20" s="1"/>
  <c r="L45" i="7"/>
  <c r="L45" i="20" s="1"/>
  <c r="L43" i="7"/>
  <c r="L43" i="20" s="1"/>
  <c r="L41" i="7"/>
  <c r="L41" i="20" s="1"/>
  <c r="L39" i="7"/>
  <c r="L39" i="20" s="1"/>
  <c r="L37" i="7"/>
  <c r="L37" i="20" s="1"/>
  <c r="L35" i="7"/>
  <c r="L35" i="20" s="1"/>
  <c r="L33" i="7"/>
  <c r="L33" i="20" s="1"/>
  <c r="L31" i="7"/>
  <c r="L31" i="20" s="1"/>
  <c r="L29" i="7"/>
  <c r="L29" i="20" s="1"/>
  <c r="L27" i="7"/>
  <c r="L27" i="20" s="1"/>
  <c r="L25" i="7"/>
  <c r="L25" i="20" s="1"/>
  <c r="L23" i="7"/>
  <c r="L23" i="20" s="1"/>
  <c r="L21" i="7"/>
  <c r="L21" i="20" s="1"/>
  <c r="L19" i="7"/>
  <c r="L19" i="20" s="1"/>
  <c r="L17" i="7"/>
  <c r="L17" i="20" s="1"/>
  <c r="L15" i="7"/>
  <c r="L15" i="20" s="1"/>
  <c r="L13" i="7"/>
  <c r="L13" i="20" s="1"/>
  <c r="L11" i="7"/>
  <c r="L11" i="20" s="1"/>
  <c r="L9" i="7"/>
  <c r="L9" i="20" s="1"/>
  <c r="L7" i="7"/>
  <c r="L7" i="20" s="1"/>
  <c r="J5" i="7"/>
  <c r="I15" i="14"/>
  <c r="J12" i="14"/>
  <c r="J8" i="14"/>
  <c r="F41" i="14"/>
  <c r="E41" i="14"/>
  <c r="I41" i="14" s="1"/>
  <c r="F37" i="14"/>
  <c r="E37" i="14"/>
  <c r="I37" i="14" s="1"/>
  <c r="F30" i="14"/>
  <c r="J30" i="14" s="1"/>
  <c r="E30" i="14"/>
  <c r="I30" i="14" s="1"/>
  <c r="F27" i="14"/>
  <c r="E27" i="14"/>
  <c r="I27" i="14" s="1"/>
  <c r="F20" i="14"/>
  <c r="E20" i="14"/>
  <c r="I20" i="14" s="1"/>
  <c r="F16" i="14"/>
  <c r="E16" i="14"/>
  <c r="I16" i="14" s="1"/>
  <c r="F15" i="14"/>
  <c r="E15" i="14"/>
  <c r="J15" i="14" s="1"/>
  <c r="F12" i="14"/>
  <c r="E12" i="14"/>
  <c r="I12" i="14" s="1"/>
  <c r="F8" i="14"/>
  <c r="E8" i="14"/>
  <c r="I8" i="14" s="1"/>
  <c r="D8" i="14"/>
  <c r="H8" i="14" s="1"/>
  <c r="C9" i="14"/>
  <c r="C10" i="14"/>
  <c r="C11" i="14"/>
  <c r="C12" i="14"/>
  <c r="C13" i="14"/>
  <c r="C14" i="14"/>
  <c r="C15" i="14"/>
  <c r="C16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32" i="14"/>
  <c r="C33" i="14"/>
  <c r="C34" i="14"/>
  <c r="C35" i="14"/>
  <c r="C36" i="14"/>
  <c r="C37" i="14"/>
  <c r="C38" i="14"/>
  <c r="C39" i="14"/>
  <c r="C40" i="14"/>
  <c r="C41" i="14"/>
  <c r="C42" i="14"/>
  <c r="C43" i="14"/>
  <c r="C44" i="14"/>
  <c r="C8" i="14"/>
  <c r="B9" i="14"/>
  <c r="B10" i="14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4" i="14"/>
  <c r="A9" i="14"/>
  <c r="A10" i="14"/>
  <c r="A11" i="14"/>
  <c r="A12" i="14"/>
  <c r="A13" i="14"/>
  <c r="A14" i="14"/>
  <c r="A15" i="14"/>
  <c r="A16" i="14"/>
  <c r="A17" i="14"/>
  <c r="A18" i="14"/>
  <c r="A19" i="14"/>
  <c r="A20" i="14"/>
  <c r="A21" i="14"/>
  <c r="A22" i="14"/>
  <c r="A23" i="14"/>
  <c r="A24" i="14"/>
  <c r="A25" i="14"/>
  <c r="A26" i="14"/>
  <c r="A27" i="14"/>
  <c r="A28" i="14"/>
  <c r="A29" i="14"/>
  <c r="A30" i="14"/>
  <c r="A31" i="14"/>
  <c r="A32" i="14"/>
  <c r="A33" i="14"/>
  <c r="A34" i="14"/>
  <c r="A35" i="14"/>
  <c r="A36" i="14"/>
  <c r="A37" i="14"/>
  <c r="A38" i="14"/>
  <c r="A39" i="14"/>
  <c r="A40" i="14"/>
  <c r="A41" i="14"/>
  <c r="A42" i="14"/>
  <c r="A43" i="14"/>
  <c r="A44" i="14"/>
  <c r="B8" i="14"/>
  <c r="A8" i="14"/>
  <c r="A6" i="14"/>
  <c r="B3" i="14"/>
  <c r="A3" i="14"/>
  <c r="M3" i="15"/>
  <c r="K72" i="15"/>
  <c r="I44" i="15"/>
  <c r="C44" i="15"/>
  <c r="B44" i="15"/>
  <c r="A44" i="15"/>
  <c r="I43" i="15"/>
  <c r="C43" i="15"/>
  <c r="B43" i="15"/>
  <c r="A43" i="15"/>
  <c r="I42" i="15"/>
  <c r="C42" i="15"/>
  <c r="B42" i="15"/>
  <c r="A42" i="15"/>
  <c r="C41" i="15"/>
  <c r="B41" i="15"/>
  <c r="A41" i="15"/>
  <c r="I40" i="15"/>
  <c r="C40" i="15"/>
  <c r="B40" i="15"/>
  <c r="A40" i="15"/>
  <c r="I39" i="15"/>
  <c r="C39" i="15"/>
  <c r="B39" i="15"/>
  <c r="A39" i="15"/>
  <c r="I38" i="15"/>
  <c r="C38" i="15"/>
  <c r="B38" i="15"/>
  <c r="A38" i="15"/>
  <c r="C37" i="15"/>
  <c r="B37" i="15"/>
  <c r="A37" i="15"/>
  <c r="I36" i="15"/>
  <c r="C36" i="15"/>
  <c r="B36" i="15"/>
  <c r="A36" i="15"/>
  <c r="I35" i="15"/>
  <c r="C35" i="15"/>
  <c r="B35" i="15"/>
  <c r="A35" i="15"/>
  <c r="I34" i="15"/>
  <c r="C34" i="15"/>
  <c r="B34" i="15"/>
  <c r="A34" i="15"/>
  <c r="I33" i="15"/>
  <c r="C33" i="15"/>
  <c r="B33" i="15"/>
  <c r="A33" i="15"/>
  <c r="I32" i="15"/>
  <c r="C32" i="15"/>
  <c r="B32" i="15"/>
  <c r="A32" i="15"/>
  <c r="I31" i="15"/>
  <c r="C31" i="15"/>
  <c r="B31" i="15"/>
  <c r="A31" i="15"/>
  <c r="C30" i="15"/>
  <c r="B30" i="15"/>
  <c r="A30" i="15"/>
  <c r="I29" i="15"/>
  <c r="C29" i="15"/>
  <c r="B29" i="15"/>
  <c r="A29" i="15"/>
  <c r="I28" i="15"/>
  <c r="C28" i="15"/>
  <c r="B28" i="15"/>
  <c r="A28" i="15"/>
  <c r="C27" i="15"/>
  <c r="B27" i="15"/>
  <c r="A27" i="15"/>
  <c r="I26" i="15"/>
  <c r="C26" i="15"/>
  <c r="B26" i="15"/>
  <c r="A26" i="15"/>
  <c r="I25" i="15"/>
  <c r="C25" i="15"/>
  <c r="B25" i="15"/>
  <c r="A25" i="15"/>
  <c r="I24" i="15"/>
  <c r="C24" i="15"/>
  <c r="B24" i="15"/>
  <c r="A24" i="15"/>
  <c r="I23" i="15"/>
  <c r="C23" i="15"/>
  <c r="B23" i="15"/>
  <c r="A23" i="15"/>
  <c r="I22" i="15"/>
  <c r="C22" i="15"/>
  <c r="B22" i="15"/>
  <c r="A22" i="15"/>
  <c r="I21" i="15"/>
  <c r="C21" i="15"/>
  <c r="B21" i="15"/>
  <c r="A21" i="15"/>
  <c r="C20" i="15"/>
  <c r="B20" i="15"/>
  <c r="A20" i="15"/>
  <c r="I19" i="15"/>
  <c r="C19" i="15"/>
  <c r="B19" i="15"/>
  <c r="A19" i="15"/>
  <c r="I18" i="15"/>
  <c r="C18" i="15"/>
  <c r="B18" i="15"/>
  <c r="A18" i="15"/>
  <c r="I17" i="15"/>
  <c r="C17" i="15"/>
  <c r="B17" i="15"/>
  <c r="A17" i="15"/>
  <c r="B16" i="15"/>
  <c r="A16" i="15"/>
  <c r="B15" i="15"/>
  <c r="A15" i="15"/>
  <c r="I14" i="15"/>
  <c r="C14" i="15"/>
  <c r="B14" i="15"/>
  <c r="A14" i="15"/>
  <c r="I13" i="15"/>
  <c r="C13" i="15"/>
  <c r="B13" i="15"/>
  <c r="A13" i="15"/>
  <c r="C12" i="15"/>
  <c r="B12" i="15"/>
  <c r="A12" i="15"/>
  <c r="I11" i="15"/>
  <c r="C11" i="15"/>
  <c r="B11" i="15"/>
  <c r="A11" i="15"/>
  <c r="I10" i="15"/>
  <c r="C10" i="15"/>
  <c r="B10" i="15"/>
  <c r="A10" i="15"/>
  <c r="I9" i="15"/>
  <c r="C9" i="15"/>
  <c r="B9" i="15"/>
  <c r="A9" i="15"/>
  <c r="C8" i="15"/>
  <c r="B8" i="15"/>
  <c r="A8" i="15"/>
  <c r="M6" i="15"/>
  <c r="A5" i="15"/>
  <c r="A4" i="15"/>
  <c r="L4" i="13" a="1"/>
  <c r="L4" i="13" s="1"/>
  <c r="K6" i="13"/>
  <c r="K5" i="13"/>
  <c r="K4" i="13"/>
  <c r="L3" i="13"/>
  <c r="K3" i="13"/>
  <c r="B3" i="13"/>
  <c r="A6" i="13"/>
  <c r="A3" i="13"/>
  <c r="L72" i="12"/>
  <c r="J44" i="12"/>
  <c r="J43" i="12"/>
  <c r="J42" i="12"/>
  <c r="J40" i="12"/>
  <c r="J39" i="12"/>
  <c r="J38" i="12"/>
  <c r="J36" i="12"/>
  <c r="J35" i="12"/>
  <c r="J34" i="12"/>
  <c r="J22" i="12"/>
  <c r="J21" i="12"/>
  <c r="J19" i="12"/>
  <c r="J18" i="12"/>
  <c r="J17" i="12"/>
  <c r="J14" i="12"/>
  <c r="J13" i="12"/>
  <c r="J11" i="12"/>
  <c r="J10" i="12"/>
  <c r="J9" i="12"/>
  <c r="J33" i="12"/>
  <c r="J32" i="12"/>
  <c r="J31" i="12"/>
  <c r="J29" i="12"/>
  <c r="J28" i="12"/>
  <c r="J26" i="12"/>
  <c r="J25" i="12"/>
  <c r="J24" i="12"/>
  <c r="J23" i="12"/>
  <c r="A30" i="12"/>
  <c r="A31" i="12"/>
  <c r="A32" i="12"/>
  <c r="A33" i="12"/>
  <c r="A34" i="12"/>
  <c r="A35" i="12"/>
  <c r="A36" i="12"/>
  <c r="A37" i="12"/>
  <c r="A38" i="12"/>
  <c r="A39" i="12"/>
  <c r="A40" i="12"/>
  <c r="A41" i="12"/>
  <c r="A42" i="12"/>
  <c r="A43" i="12"/>
  <c r="A44" i="12"/>
  <c r="D9" i="12"/>
  <c r="D10" i="12"/>
  <c r="D11" i="12"/>
  <c r="D12" i="12"/>
  <c r="D13" i="12"/>
  <c r="D14" i="12"/>
  <c r="D17" i="12"/>
  <c r="D18" i="12"/>
  <c r="D19" i="12"/>
  <c r="D20" i="12"/>
  <c r="D21" i="12"/>
  <c r="D22" i="12"/>
  <c r="D23" i="12"/>
  <c r="D24" i="12"/>
  <c r="D25" i="12"/>
  <c r="D26" i="12"/>
  <c r="D27" i="12"/>
  <c r="D28" i="12"/>
  <c r="D29" i="12"/>
  <c r="D30" i="12"/>
  <c r="D31" i="12"/>
  <c r="D32" i="12"/>
  <c r="D33" i="12"/>
  <c r="D34" i="12"/>
  <c r="D35" i="12"/>
  <c r="D36" i="12"/>
  <c r="D37" i="12"/>
  <c r="D38" i="12"/>
  <c r="D39" i="12"/>
  <c r="D40" i="12"/>
  <c r="D41" i="12"/>
  <c r="D42" i="12"/>
  <c r="D43" i="12"/>
  <c r="D44" i="12"/>
  <c r="D8" i="12"/>
  <c r="C9" i="12"/>
  <c r="C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8" i="12"/>
  <c r="A9" i="12"/>
  <c r="A10" i="12"/>
  <c r="A11" i="12"/>
  <c r="A12" i="12"/>
  <c r="A13" i="12"/>
  <c r="A14" i="12"/>
  <c r="A15" i="12"/>
  <c r="A16" i="12"/>
  <c r="A17" i="12"/>
  <c r="A18" i="12"/>
  <c r="A19" i="12"/>
  <c r="A20" i="12"/>
  <c r="A21" i="12"/>
  <c r="A22" i="12"/>
  <c r="A23" i="12"/>
  <c r="A24" i="12"/>
  <c r="A25" i="12"/>
  <c r="A26" i="12"/>
  <c r="A27" i="12"/>
  <c r="A28" i="12"/>
  <c r="A29" i="12"/>
  <c r="A8" i="12"/>
  <c r="N6" i="12"/>
  <c r="A5" i="12"/>
  <c r="A5" i="14" s="1"/>
  <c r="A4" i="12"/>
  <c r="A4" i="14" s="1"/>
  <c r="J28" i="20" l="1"/>
  <c r="F28" i="20"/>
  <c r="G28" i="20"/>
  <c r="I28" i="20"/>
  <c r="H28" i="20"/>
  <c r="A5" i="18"/>
  <c r="A4" i="18"/>
  <c r="J20" i="14"/>
  <c r="J16" i="14"/>
  <c r="J27" i="14"/>
  <c r="J37" i="14"/>
  <c r="J41" i="14"/>
  <c r="A5" i="13"/>
  <c r="A4" i="13"/>
  <c r="K54" i="7"/>
  <c r="J54" i="7"/>
  <c r="I54" i="7"/>
  <c r="H54" i="7"/>
  <c r="G54" i="7"/>
  <c r="F54" i="7"/>
  <c r="L54" i="7" s="1"/>
  <c r="L54" i="20" s="1"/>
  <c r="M54" i="20" s="1"/>
  <c r="K52" i="7"/>
  <c r="J52" i="7"/>
  <c r="I52" i="7"/>
  <c r="H52" i="7"/>
  <c r="G52" i="7"/>
  <c r="F52" i="7"/>
  <c r="L52" i="7" s="1"/>
  <c r="L52" i="20" s="1"/>
  <c r="M52" i="20" s="1"/>
  <c r="K50" i="7"/>
  <c r="J50" i="7"/>
  <c r="I50" i="7"/>
  <c r="H50" i="7"/>
  <c r="G50" i="7"/>
  <c r="F50" i="7"/>
  <c r="K48" i="7"/>
  <c r="J48" i="7"/>
  <c r="I48" i="7"/>
  <c r="H48" i="7"/>
  <c r="G48" i="7"/>
  <c r="F48" i="7"/>
  <c r="L48" i="7" s="1"/>
  <c r="L48" i="20" s="1"/>
  <c r="M48" i="20" s="1"/>
  <c r="G44" i="7"/>
  <c r="G46" i="7"/>
  <c r="F44" i="7"/>
  <c r="F46" i="7"/>
  <c r="K42" i="7"/>
  <c r="K44" i="7"/>
  <c r="K46" i="7"/>
  <c r="J42" i="7"/>
  <c r="J44" i="7"/>
  <c r="J46" i="7"/>
  <c r="I42" i="7"/>
  <c r="I44" i="7"/>
  <c r="I46" i="7"/>
  <c r="H42" i="7"/>
  <c r="H44" i="7"/>
  <c r="H46" i="7"/>
  <c r="G42" i="7"/>
  <c r="F42" i="7"/>
  <c r="L42" i="7" s="1"/>
  <c r="L42" i="20" s="1"/>
  <c r="M42" i="20" s="1"/>
  <c r="K40" i="7"/>
  <c r="J40" i="7"/>
  <c r="I40" i="7"/>
  <c r="H40" i="7"/>
  <c r="G40" i="7"/>
  <c r="F40" i="7"/>
  <c r="K38" i="7"/>
  <c r="J38" i="7"/>
  <c r="I38" i="7"/>
  <c r="H38" i="7"/>
  <c r="G38" i="7"/>
  <c r="F38" i="7"/>
  <c r="L38" i="7" s="1"/>
  <c r="L38" i="20" s="1"/>
  <c r="M38" i="20" s="1"/>
  <c r="K36" i="7"/>
  <c r="J36" i="7"/>
  <c r="I36" i="7"/>
  <c r="H36" i="7"/>
  <c r="G36" i="7"/>
  <c r="F36" i="7"/>
  <c r="L36" i="7" s="1"/>
  <c r="L36" i="20" s="1"/>
  <c r="M36" i="20" s="1"/>
  <c r="K34" i="7"/>
  <c r="J34" i="7"/>
  <c r="I34" i="7"/>
  <c r="H34" i="7"/>
  <c r="G34" i="7"/>
  <c r="F34" i="7"/>
  <c r="K32" i="7"/>
  <c r="J32" i="7"/>
  <c r="I32" i="7"/>
  <c r="H32" i="7"/>
  <c r="G32" i="7"/>
  <c r="F32" i="7"/>
  <c r="K30" i="7"/>
  <c r="J30" i="7"/>
  <c r="I30" i="7"/>
  <c r="H30" i="7"/>
  <c r="G30" i="7"/>
  <c r="F30" i="7"/>
  <c r="K28" i="7"/>
  <c r="J28" i="7"/>
  <c r="I28" i="7"/>
  <c r="H28" i="7"/>
  <c r="G28" i="7"/>
  <c r="F28" i="7"/>
  <c r="K12" i="7"/>
  <c r="J12" i="7"/>
  <c r="I12" i="7"/>
  <c r="H12" i="7"/>
  <c r="G12" i="7"/>
  <c r="F12" i="7"/>
  <c r="G14" i="5"/>
  <c r="F14" i="5" s="1"/>
  <c r="B7" i="10"/>
  <c r="D15" i="14"/>
  <c r="H15" i="14" s="1"/>
  <c r="D20" i="14"/>
  <c r="H20" i="14" s="1"/>
  <c r="D30" i="14"/>
  <c r="H30" i="14" s="1"/>
  <c r="D31" i="14"/>
  <c r="H31" i="14" s="1"/>
  <c r="D36" i="14"/>
  <c r="H36" i="14" s="1"/>
  <c r="D38" i="14"/>
  <c r="H38" i="14" s="1"/>
  <c r="A11" i="7"/>
  <c r="A11" i="20" s="1"/>
  <c r="D12" i="14"/>
  <c r="H12" i="14" s="1"/>
  <c r="D11" i="14"/>
  <c r="H11" i="14" s="1"/>
  <c r="D10" i="14"/>
  <c r="H10" i="14" s="1"/>
  <c r="E9" i="5"/>
  <c r="D9" i="14" s="1"/>
  <c r="H9" i="14" s="1"/>
  <c r="T14" i="11"/>
  <c r="T13" i="11"/>
  <c r="T12" i="11"/>
  <c r="T11" i="11"/>
  <c r="T10" i="11"/>
  <c r="T9" i="11"/>
  <c r="T8" i="11"/>
  <c r="T7" i="11"/>
  <c r="A40" i="10"/>
  <c r="M27" i="10"/>
  <c r="L27" i="10" s="1"/>
  <c r="D23" i="10" s="1"/>
  <c r="K27" i="10"/>
  <c r="J27" i="10" s="1"/>
  <c r="C23" i="10" s="1"/>
  <c r="I27" i="10"/>
  <c r="E28" i="10" s="1"/>
  <c r="B23" i="10" s="1"/>
  <c r="E27" i="10"/>
  <c r="D27" i="10"/>
  <c r="D24" i="10"/>
  <c r="C24" i="10"/>
  <c r="B24" i="10"/>
  <c r="E22" i="10"/>
  <c r="A22" i="10"/>
  <c r="D22" i="10" s="1"/>
  <c r="D21" i="10"/>
  <c r="C21" i="10"/>
  <c r="B21" i="10"/>
  <c r="D20" i="10"/>
  <c r="C20" i="10"/>
  <c r="B20" i="10"/>
  <c r="D19" i="10"/>
  <c r="C19" i="10"/>
  <c r="B19" i="10"/>
  <c r="D18" i="10"/>
  <c r="C18" i="10"/>
  <c r="B18" i="10"/>
  <c r="D17" i="10"/>
  <c r="C17" i="10"/>
  <c r="B17" i="10"/>
  <c r="D16" i="10"/>
  <c r="C16" i="10"/>
  <c r="B16" i="10"/>
  <c r="D15" i="10"/>
  <c r="C15" i="10"/>
  <c r="B15" i="10"/>
  <c r="D14" i="10"/>
  <c r="C14" i="10"/>
  <c r="B14" i="10"/>
  <c r="F10" i="10"/>
  <c r="F9" i="10"/>
  <c r="F8" i="10"/>
  <c r="A9" i="7"/>
  <c r="A9" i="20" s="1"/>
  <c r="A7" i="7"/>
  <c r="A7" i="20" s="1"/>
  <c r="K7" i="8"/>
  <c r="B6" i="8"/>
  <c r="A6" i="8"/>
  <c r="G11" i="5"/>
  <c r="G10" i="5"/>
  <c r="G9" i="5"/>
  <c r="A3" i="8"/>
  <c r="A4" i="8"/>
  <c r="I4" i="7"/>
  <c r="I5" i="7"/>
  <c r="D5" i="7"/>
  <c r="A5" i="7"/>
  <c r="L2" i="8"/>
  <c r="G13" i="5"/>
  <c r="L11" i="8"/>
  <c r="E13" i="5" s="1"/>
  <c r="L32" i="7" l="1"/>
  <c r="L32" i="20" s="1"/>
  <c r="M32" i="20" s="1"/>
  <c r="L34" i="7"/>
  <c r="L34" i="20" s="1"/>
  <c r="M34" i="20" s="1"/>
  <c r="L30" i="7"/>
  <c r="L30" i="20" s="1"/>
  <c r="M30" i="20" s="1"/>
  <c r="L50" i="7"/>
  <c r="L50" i="20" s="1"/>
  <c r="M50" i="20" s="1"/>
  <c r="L40" i="7"/>
  <c r="L40" i="20" s="1"/>
  <c r="M40" i="20" s="1"/>
  <c r="L46" i="7"/>
  <c r="L46" i="20" s="1"/>
  <c r="M46" i="20" s="1"/>
  <c r="L12" i="7"/>
  <c r="L12" i="20" s="1"/>
  <c r="M12" i="20" s="1"/>
  <c r="L44" i="7"/>
  <c r="L44" i="20" s="1"/>
  <c r="M44" i="20" s="1"/>
  <c r="F18" i="10"/>
  <c r="J24" i="7"/>
  <c r="E13" i="12"/>
  <c r="K13" i="12" s="1"/>
  <c r="L28" i="7"/>
  <c r="L28" i="20" s="1"/>
  <c r="M28" i="20" s="1"/>
  <c r="D17" i="14"/>
  <c r="H17" i="14" s="1"/>
  <c r="D22" i="14"/>
  <c r="H22" i="14" s="1"/>
  <c r="D27" i="14"/>
  <c r="H27" i="14" s="1"/>
  <c r="D44" i="14"/>
  <c r="H44" i="14" s="1"/>
  <c r="D43" i="14"/>
  <c r="H43" i="14" s="1"/>
  <c r="D16" i="14"/>
  <c r="H16" i="14" s="1"/>
  <c r="F19" i="10"/>
  <c r="F21" i="10"/>
  <c r="F15" i="10"/>
  <c r="E32" i="12"/>
  <c r="D28" i="14"/>
  <c r="H28" i="14" s="1"/>
  <c r="F16" i="10"/>
  <c r="E29" i="10"/>
  <c r="D34" i="14"/>
  <c r="H34" i="14" s="1"/>
  <c r="D39" i="14"/>
  <c r="H39" i="14" s="1"/>
  <c r="D35" i="14"/>
  <c r="H35" i="14" s="1"/>
  <c r="F36" i="12"/>
  <c r="E36" i="14" s="1"/>
  <c r="I36" i="14" s="1"/>
  <c r="E36" i="15"/>
  <c r="F26" i="12"/>
  <c r="E26" i="14" s="1"/>
  <c r="I26" i="14" s="1"/>
  <c r="E26" i="15"/>
  <c r="F29" i="12"/>
  <c r="E29" i="14" s="1"/>
  <c r="I29" i="14" s="1"/>
  <c r="E29" i="15"/>
  <c r="F25" i="12"/>
  <c r="E25" i="14" s="1"/>
  <c r="I25" i="14" s="1"/>
  <c r="E25" i="15"/>
  <c r="F35" i="12"/>
  <c r="E35" i="14" s="1"/>
  <c r="I35" i="14" s="1"/>
  <c r="E35" i="15"/>
  <c r="F24" i="12"/>
  <c r="E24" i="14" s="1"/>
  <c r="I24" i="14" s="1"/>
  <c r="E24" i="15"/>
  <c r="F32" i="12"/>
  <c r="E32" i="14" s="1"/>
  <c r="I32" i="14" s="1"/>
  <c r="E32" i="15"/>
  <c r="F23" i="12"/>
  <c r="E23" i="14" s="1"/>
  <c r="I23" i="14" s="1"/>
  <c r="E23" i="15"/>
  <c r="F22" i="12"/>
  <c r="E22" i="14" s="1"/>
  <c r="I22" i="14" s="1"/>
  <c r="E22" i="15"/>
  <c r="F17" i="12"/>
  <c r="E17" i="14" s="1"/>
  <c r="I17" i="14" s="1"/>
  <c r="E17" i="15"/>
  <c r="F21" i="12"/>
  <c r="E21" i="14" s="1"/>
  <c r="I21" i="14" s="1"/>
  <c r="E21" i="15"/>
  <c r="F42" i="12"/>
  <c r="E42" i="14" s="1"/>
  <c r="I42" i="14" s="1"/>
  <c r="E42" i="15"/>
  <c r="F19" i="12"/>
  <c r="E19" i="14" s="1"/>
  <c r="I19" i="14" s="1"/>
  <c r="E19" i="15"/>
  <c r="F43" i="12"/>
  <c r="E43" i="14" s="1"/>
  <c r="I43" i="14" s="1"/>
  <c r="E43" i="15"/>
  <c r="F13" i="12"/>
  <c r="E13" i="14" s="1"/>
  <c r="I13" i="14" s="1"/>
  <c r="E13" i="15"/>
  <c r="F28" i="12"/>
  <c r="E28" i="14" s="1"/>
  <c r="I28" i="14" s="1"/>
  <c r="E28" i="15"/>
  <c r="F40" i="12"/>
  <c r="E40" i="14" s="1"/>
  <c r="I40" i="14" s="1"/>
  <c r="E40" i="15"/>
  <c r="F39" i="12"/>
  <c r="E39" i="14" s="1"/>
  <c r="I39" i="14" s="1"/>
  <c r="E39" i="15"/>
  <c r="F38" i="12"/>
  <c r="E38" i="14" s="1"/>
  <c r="I38" i="14" s="1"/>
  <c r="E38" i="15"/>
  <c r="F14" i="12"/>
  <c r="E14" i="15"/>
  <c r="F31" i="12"/>
  <c r="E31" i="14" s="1"/>
  <c r="I31" i="14" s="1"/>
  <c r="E31" i="15"/>
  <c r="F9" i="12"/>
  <c r="E9" i="14" s="1"/>
  <c r="I9" i="14" s="1"/>
  <c r="E9" i="15"/>
  <c r="F33" i="12"/>
  <c r="E33" i="14" s="1"/>
  <c r="I33" i="14" s="1"/>
  <c r="E33" i="15"/>
  <c r="F10" i="12"/>
  <c r="E10" i="14" s="1"/>
  <c r="I10" i="14" s="1"/>
  <c r="E10" i="15"/>
  <c r="F34" i="12"/>
  <c r="E34" i="14" s="1"/>
  <c r="I34" i="14" s="1"/>
  <c r="E34" i="15"/>
  <c r="F44" i="12"/>
  <c r="E44" i="14" s="1"/>
  <c r="I44" i="14" s="1"/>
  <c r="E44" i="15"/>
  <c r="F11" i="12"/>
  <c r="E11" i="14" s="1"/>
  <c r="I11" i="14" s="1"/>
  <c r="E11" i="15"/>
  <c r="F18" i="12"/>
  <c r="E18" i="14" s="1"/>
  <c r="I18" i="14" s="1"/>
  <c r="E18" i="15"/>
  <c r="D18" i="15"/>
  <c r="J18" i="15" s="1"/>
  <c r="D18" i="14"/>
  <c r="H18" i="14" s="1"/>
  <c r="D21" i="15"/>
  <c r="J21" i="15" s="1"/>
  <c r="D21" i="14"/>
  <c r="H21" i="14" s="1"/>
  <c r="E14" i="12"/>
  <c r="D14" i="14"/>
  <c r="H14" i="14" s="1"/>
  <c r="D14" i="15"/>
  <c r="D42" i="15"/>
  <c r="D42" i="14"/>
  <c r="H42" i="14" s="1"/>
  <c r="D41" i="14"/>
  <c r="H41" i="14" s="1"/>
  <c r="D37" i="14"/>
  <c r="H37" i="14" s="1"/>
  <c r="E40" i="12"/>
  <c r="K40" i="12" s="1"/>
  <c r="D29" i="15"/>
  <c r="J29" i="15" s="1"/>
  <c r="D29" i="14"/>
  <c r="H29" i="14" s="1"/>
  <c r="F20" i="10"/>
  <c r="F14" i="10"/>
  <c r="F17" i="10"/>
  <c r="E9" i="12"/>
  <c r="K9" i="12" s="1"/>
  <c r="D9" i="15"/>
  <c r="E31" i="12"/>
  <c r="D31" i="15"/>
  <c r="E36" i="12"/>
  <c r="K36" i="12" s="1"/>
  <c r="D36" i="15"/>
  <c r="E10" i="12"/>
  <c r="D10" i="15"/>
  <c r="E11" i="12"/>
  <c r="D11" i="15"/>
  <c r="H10" i="5"/>
  <c r="E38" i="12"/>
  <c r="D38" i="15"/>
  <c r="E18" i="12"/>
  <c r="K18" i="12" s="1"/>
  <c r="E42" i="12"/>
  <c r="E21" i="12"/>
  <c r="E29" i="12"/>
  <c r="H9" i="5"/>
  <c r="L28" i="10"/>
  <c r="H11" i="5"/>
  <c r="H14" i="5"/>
  <c r="B22" i="10"/>
  <c r="F22" i="10" s="1"/>
  <c r="C22" i="10"/>
  <c r="J28" i="10"/>
  <c r="G23" i="10" l="1"/>
  <c r="E23" i="10" s="1"/>
  <c r="H24" i="7"/>
  <c r="D22" i="15"/>
  <c r="J22" i="15" s="1"/>
  <c r="E22" i="12"/>
  <c r="G22" i="12" s="1"/>
  <c r="F22" i="14" s="1"/>
  <c r="J22" i="14" s="1"/>
  <c r="I24" i="7"/>
  <c r="K24" i="7"/>
  <c r="H13" i="5"/>
  <c r="I14" i="5" s="1"/>
  <c r="E24" i="20"/>
  <c r="K24" i="20" s="1"/>
  <c r="G24" i="7"/>
  <c r="F24" i="7"/>
  <c r="D13" i="15"/>
  <c r="J13" i="15" s="1"/>
  <c r="D13" i="14"/>
  <c r="H13" i="14" s="1"/>
  <c r="I11" i="5"/>
  <c r="E8" i="7" s="1"/>
  <c r="D19" i="14"/>
  <c r="H19" i="14" s="1"/>
  <c r="D23" i="14"/>
  <c r="H23" i="14" s="1"/>
  <c r="D43" i="15"/>
  <c r="F43" i="15" s="1"/>
  <c r="E43" i="12"/>
  <c r="G43" i="12" s="1"/>
  <c r="F43" i="14" s="1"/>
  <c r="J43" i="14" s="1"/>
  <c r="D44" i="15"/>
  <c r="F44" i="15" s="1"/>
  <c r="E44" i="12"/>
  <c r="K44" i="12" s="1"/>
  <c r="D32" i="14"/>
  <c r="H32" i="14" s="1"/>
  <c r="D32" i="15"/>
  <c r="J32" i="15" s="1"/>
  <c r="D28" i="15"/>
  <c r="F28" i="15" s="1"/>
  <c r="E28" i="12"/>
  <c r="K28" i="12" s="1"/>
  <c r="M19" i="12"/>
  <c r="M33" i="12"/>
  <c r="L34" i="12"/>
  <c r="M31" i="12"/>
  <c r="E34" i="12"/>
  <c r="G34" i="12" s="1"/>
  <c r="F34" i="14" s="1"/>
  <c r="J34" i="14" s="1"/>
  <c r="L19" i="12"/>
  <c r="M43" i="12"/>
  <c r="M36" i="12"/>
  <c r="L21" i="12"/>
  <c r="M34" i="12"/>
  <c r="D35" i="15"/>
  <c r="J35" i="15" s="1"/>
  <c r="E35" i="12"/>
  <c r="K35" i="12" s="1"/>
  <c r="E39" i="12"/>
  <c r="K39" i="12" s="1"/>
  <c r="D39" i="15"/>
  <c r="J39" i="15" s="1"/>
  <c r="D34" i="15"/>
  <c r="F34" i="15" s="1"/>
  <c r="L36" i="12"/>
  <c r="G31" i="12"/>
  <c r="F31" i="14" s="1"/>
  <c r="J31" i="14" s="1"/>
  <c r="M21" i="12"/>
  <c r="M9" i="12"/>
  <c r="L9" i="12"/>
  <c r="L26" i="12"/>
  <c r="L31" i="12"/>
  <c r="L24" i="12"/>
  <c r="M28" i="12"/>
  <c r="L28" i="12"/>
  <c r="M24" i="12"/>
  <c r="L43" i="12"/>
  <c r="L33" i="12"/>
  <c r="G10" i="12"/>
  <c r="F10" i="14" s="1"/>
  <c r="J10" i="14" s="1"/>
  <c r="M10" i="12"/>
  <c r="L10" i="12"/>
  <c r="M42" i="12"/>
  <c r="M25" i="12"/>
  <c r="M17" i="12"/>
  <c r="G38" i="12"/>
  <c r="F38" i="14" s="1"/>
  <c r="J38" i="14" s="1"/>
  <c r="G11" i="12"/>
  <c r="F11" i="14" s="1"/>
  <c r="J11" i="14" s="1"/>
  <c r="L25" i="12"/>
  <c r="M32" i="12"/>
  <c r="L32" i="12"/>
  <c r="L42" i="12"/>
  <c r="M29" i="12"/>
  <c r="L29" i="12"/>
  <c r="M26" i="12"/>
  <c r="L14" i="15"/>
  <c r="K14" i="15"/>
  <c r="M14" i="12"/>
  <c r="L14" i="12"/>
  <c r="E14" i="14"/>
  <c r="I14" i="14" s="1"/>
  <c r="I45" i="14" s="1"/>
  <c r="J3" i="14" s="1"/>
  <c r="L17" i="12"/>
  <c r="K22" i="15"/>
  <c r="L22" i="15"/>
  <c r="L18" i="15"/>
  <c r="K18" i="15"/>
  <c r="K23" i="15"/>
  <c r="L23" i="15"/>
  <c r="L38" i="12"/>
  <c r="D40" i="15"/>
  <c r="J40" i="15" s="1"/>
  <c r="K32" i="15"/>
  <c r="L32" i="15"/>
  <c r="M22" i="12"/>
  <c r="K28" i="15"/>
  <c r="L28" i="15"/>
  <c r="L23" i="12"/>
  <c r="K34" i="15"/>
  <c r="L34" i="15"/>
  <c r="K35" i="15"/>
  <c r="L35" i="15"/>
  <c r="K10" i="15"/>
  <c r="L10" i="15"/>
  <c r="L25" i="15"/>
  <c r="K25" i="15"/>
  <c r="M18" i="12"/>
  <c r="K33" i="15"/>
  <c r="L33" i="15"/>
  <c r="K21" i="15"/>
  <c r="L21" i="15"/>
  <c r="K17" i="15"/>
  <c r="L17" i="15"/>
  <c r="L38" i="15"/>
  <c r="K38" i="15"/>
  <c r="M38" i="12"/>
  <c r="L39" i="15"/>
  <c r="K39" i="15"/>
  <c r="K11" i="15"/>
  <c r="L11" i="15"/>
  <c r="K40" i="15"/>
  <c r="L40" i="15"/>
  <c r="F18" i="15"/>
  <c r="L22" i="12"/>
  <c r="K44" i="15"/>
  <c r="L44" i="15"/>
  <c r="L24" i="15"/>
  <c r="K24" i="15"/>
  <c r="M11" i="12"/>
  <c r="M23" i="12"/>
  <c r="M39" i="12"/>
  <c r="L11" i="12"/>
  <c r="L39" i="12"/>
  <c r="K13" i="15"/>
  <c r="L13" i="15"/>
  <c r="L43" i="15"/>
  <c r="K43" i="15"/>
  <c r="L18" i="12"/>
  <c r="G14" i="12"/>
  <c r="F14" i="14" s="1"/>
  <c r="K19" i="15"/>
  <c r="L19" i="15"/>
  <c r="K29" i="15"/>
  <c r="L29" i="15"/>
  <c r="M35" i="12"/>
  <c r="M44" i="12"/>
  <c r="M13" i="12"/>
  <c r="L35" i="12"/>
  <c r="L44" i="12"/>
  <c r="L13" i="12"/>
  <c r="M40" i="12"/>
  <c r="K9" i="15"/>
  <c r="L9" i="15"/>
  <c r="L42" i="15"/>
  <c r="K42" i="15"/>
  <c r="K26" i="15"/>
  <c r="L26" i="15"/>
  <c r="L40" i="12"/>
  <c r="F21" i="15"/>
  <c r="K31" i="15"/>
  <c r="L31" i="15"/>
  <c r="K36" i="15"/>
  <c r="L36" i="15"/>
  <c r="F29" i="15"/>
  <c r="J42" i="15"/>
  <c r="F42" i="15"/>
  <c r="K31" i="12"/>
  <c r="J14" i="15"/>
  <c r="F14" i="15"/>
  <c r="K14" i="12"/>
  <c r="G13" i="12"/>
  <c r="F13" i="14" s="1"/>
  <c r="J13" i="14" s="1"/>
  <c r="D40" i="14"/>
  <c r="H40" i="14" s="1"/>
  <c r="G36" i="12"/>
  <c r="G9" i="12"/>
  <c r="J10" i="15"/>
  <c r="F10" i="15"/>
  <c r="F31" i="15"/>
  <c r="J31" i="15"/>
  <c r="K11" i="12"/>
  <c r="K10" i="12"/>
  <c r="K38" i="12"/>
  <c r="E17" i="12"/>
  <c r="D17" i="15"/>
  <c r="F38" i="15"/>
  <c r="J38" i="15"/>
  <c r="J11" i="15"/>
  <c r="F11" i="15"/>
  <c r="J9" i="15"/>
  <c r="F9" i="15"/>
  <c r="G40" i="12"/>
  <c r="J36" i="15"/>
  <c r="F36" i="15"/>
  <c r="G18" i="12"/>
  <c r="G21" i="12"/>
  <c r="K21" i="12"/>
  <c r="G32" i="12"/>
  <c r="K32" i="12"/>
  <c r="K29" i="12"/>
  <c r="G29" i="12"/>
  <c r="K42" i="12"/>
  <c r="G42" i="12"/>
  <c r="K13" i="5"/>
  <c r="E24" i="10"/>
  <c r="E10" i="7" l="1"/>
  <c r="E10" i="20" s="1"/>
  <c r="E19" i="12"/>
  <c r="K19" i="12" s="1"/>
  <c r="D19" i="15"/>
  <c r="J19" i="15" s="1"/>
  <c r="F13" i="15"/>
  <c r="N13" i="15" s="1"/>
  <c r="K22" i="12"/>
  <c r="F22" i="15"/>
  <c r="N22" i="15" s="1"/>
  <c r="L24" i="7"/>
  <c r="E26" i="20"/>
  <c r="K43" i="12"/>
  <c r="J43" i="15"/>
  <c r="I24" i="20"/>
  <c r="J24" i="20"/>
  <c r="H24" i="20"/>
  <c r="G24" i="20"/>
  <c r="F24" i="20"/>
  <c r="E23" i="12"/>
  <c r="K23" i="12" s="1"/>
  <c r="D23" i="15"/>
  <c r="F23" i="15" s="1"/>
  <c r="N23" i="15" s="1"/>
  <c r="D24" i="15"/>
  <c r="E24" i="12"/>
  <c r="D24" i="14"/>
  <c r="H24" i="14" s="1"/>
  <c r="J44" i="15"/>
  <c r="G44" i="12"/>
  <c r="F44" i="14" s="1"/>
  <c r="J44" i="14" s="1"/>
  <c r="J28" i="15"/>
  <c r="F32" i="15"/>
  <c r="M32" i="15" s="1"/>
  <c r="D33" i="14"/>
  <c r="H33" i="14" s="1"/>
  <c r="D33" i="15"/>
  <c r="E33" i="12"/>
  <c r="G28" i="12"/>
  <c r="F28" i="14" s="1"/>
  <c r="J28" i="14" s="1"/>
  <c r="N31" i="12"/>
  <c r="F35" i="15"/>
  <c r="M35" i="15" s="1"/>
  <c r="J14" i="14"/>
  <c r="K34" i="12"/>
  <c r="N9" i="12"/>
  <c r="G35" i="12"/>
  <c r="F35" i="14" s="1"/>
  <c r="J35" i="14" s="1"/>
  <c r="N22" i="12"/>
  <c r="F39" i="15"/>
  <c r="M39" i="15" s="1"/>
  <c r="N10" i="12"/>
  <c r="G39" i="12"/>
  <c r="O39" i="12" s="1"/>
  <c r="J34" i="15"/>
  <c r="O31" i="12"/>
  <c r="O10" i="12"/>
  <c r="F40" i="15"/>
  <c r="N40" i="15" s="1"/>
  <c r="N11" i="12"/>
  <c r="D26" i="14"/>
  <c r="H26" i="14" s="1"/>
  <c r="E26" i="12"/>
  <c r="D26" i="15"/>
  <c r="N38" i="12"/>
  <c r="E25" i="12"/>
  <c r="D25" i="15"/>
  <c r="D25" i="14"/>
  <c r="H25" i="14" s="1"/>
  <c r="M21" i="15"/>
  <c r="N29" i="15"/>
  <c r="O38" i="12"/>
  <c r="M18" i="15"/>
  <c r="N14" i="12"/>
  <c r="O14" i="12"/>
  <c r="P14" i="12"/>
  <c r="K65" i="15"/>
  <c r="H66" i="15" s="1"/>
  <c r="L65" i="12"/>
  <c r="I66" i="12" s="1"/>
  <c r="O43" i="12"/>
  <c r="M65" i="12"/>
  <c r="O11" i="12"/>
  <c r="O34" i="12"/>
  <c r="N34" i="12"/>
  <c r="O9" i="12"/>
  <c r="M29" i="15"/>
  <c r="N43" i="12"/>
  <c r="L65" i="15"/>
  <c r="N21" i="15"/>
  <c r="N18" i="15"/>
  <c r="O22" i="12"/>
  <c r="N42" i="12"/>
  <c r="F42" i="14"/>
  <c r="J42" i="14" s="1"/>
  <c r="O36" i="12"/>
  <c r="F36" i="14"/>
  <c r="J36" i="14" s="1"/>
  <c r="O32" i="12"/>
  <c r="F32" i="14"/>
  <c r="J32" i="14" s="1"/>
  <c r="N18" i="12"/>
  <c r="F18" i="14"/>
  <c r="J18" i="14" s="1"/>
  <c r="N40" i="12"/>
  <c r="F40" i="14"/>
  <c r="J40" i="14" s="1"/>
  <c r="N13" i="12"/>
  <c r="O13" i="12"/>
  <c r="O21" i="12"/>
  <c r="F21" i="14"/>
  <c r="J21" i="14" s="1"/>
  <c r="M14" i="15"/>
  <c r="N14" i="15"/>
  <c r="O29" i="12"/>
  <c r="F29" i="14"/>
  <c r="J29" i="14" s="1"/>
  <c r="P11" i="12"/>
  <c r="F9" i="14"/>
  <c r="N42" i="15"/>
  <c r="M42" i="15"/>
  <c r="O40" i="12"/>
  <c r="N36" i="12"/>
  <c r="N43" i="15"/>
  <c r="M43" i="15"/>
  <c r="N34" i="15"/>
  <c r="M34" i="15"/>
  <c r="N9" i="15"/>
  <c r="O11" i="15"/>
  <c r="M9" i="15"/>
  <c r="O18" i="12"/>
  <c r="N28" i="15"/>
  <c r="M28" i="15"/>
  <c r="N11" i="15"/>
  <c r="M11" i="15"/>
  <c r="N44" i="15"/>
  <c r="M44" i="15"/>
  <c r="N38" i="15"/>
  <c r="M38" i="15"/>
  <c r="N31" i="15"/>
  <c r="M31" i="15"/>
  <c r="N36" i="15"/>
  <c r="M36" i="15"/>
  <c r="J17" i="15"/>
  <c r="F17" i="15"/>
  <c r="N10" i="15"/>
  <c r="M10" i="15"/>
  <c r="K17" i="12"/>
  <c r="G17" i="12"/>
  <c r="F17" i="14" s="1"/>
  <c r="J17" i="14" s="1"/>
  <c r="N32" i="12"/>
  <c r="O42" i="12"/>
  <c r="N21" i="12"/>
  <c r="H10" i="7"/>
  <c r="I10" i="7"/>
  <c r="N29" i="12"/>
  <c r="E26" i="10"/>
  <c r="F24" i="10" s="1"/>
  <c r="I66" i="15" a="1"/>
  <c r="J66" i="12" a="1"/>
  <c r="G10" i="7" l="1"/>
  <c r="F10" i="7"/>
  <c r="K10" i="7"/>
  <c r="J10" i="7"/>
  <c r="K10" i="20"/>
  <c r="J10" i="20"/>
  <c r="F10" i="20"/>
  <c r="I10" i="20"/>
  <c r="H10" i="20"/>
  <c r="G10" i="20"/>
  <c r="G19" i="12"/>
  <c r="F19" i="14" s="1"/>
  <c r="J19" i="14" s="1"/>
  <c r="F19" i="15"/>
  <c r="N19" i="15" s="1"/>
  <c r="M13" i="15"/>
  <c r="O14" i="15"/>
  <c r="O65" i="15" s="1"/>
  <c r="M22" i="15"/>
  <c r="F26" i="7"/>
  <c r="H26" i="7"/>
  <c r="G26" i="7"/>
  <c r="I26" i="7"/>
  <c r="J26" i="7"/>
  <c r="K26" i="7"/>
  <c r="M23" i="15"/>
  <c r="L24" i="20"/>
  <c r="M24" i="20" s="1"/>
  <c r="G23" i="12"/>
  <c r="F23" i="14" s="1"/>
  <c r="J23" i="14" s="1"/>
  <c r="E22" i="20"/>
  <c r="K22" i="20" s="1"/>
  <c r="G22" i="7"/>
  <c r="F22" i="7"/>
  <c r="I22" i="7"/>
  <c r="K22" i="7"/>
  <c r="H22" i="7"/>
  <c r="J22" i="7"/>
  <c r="J23" i="15"/>
  <c r="J26" i="20"/>
  <c r="F26" i="20"/>
  <c r="H26" i="20"/>
  <c r="G26" i="20"/>
  <c r="K26" i="20"/>
  <c r="I26" i="20"/>
  <c r="E8" i="20"/>
  <c r="K8" i="20" s="1"/>
  <c r="K24" i="12"/>
  <c r="G24" i="12"/>
  <c r="F24" i="15"/>
  <c r="J24" i="15"/>
  <c r="O44" i="12"/>
  <c r="N44" i="12"/>
  <c r="N32" i="15"/>
  <c r="K33" i="12"/>
  <c r="G33" i="12"/>
  <c r="F33" i="15"/>
  <c r="J33" i="15"/>
  <c r="F18" i="7"/>
  <c r="O28" i="12"/>
  <c r="N35" i="15"/>
  <c r="N28" i="12"/>
  <c r="N35" i="12"/>
  <c r="O35" i="12"/>
  <c r="N39" i="15"/>
  <c r="N39" i="12"/>
  <c r="F39" i="14"/>
  <c r="J39" i="14" s="1"/>
  <c r="M40" i="15"/>
  <c r="J25" i="15"/>
  <c r="F25" i="15"/>
  <c r="K26" i="12"/>
  <c r="G26" i="12"/>
  <c r="K25" i="12"/>
  <c r="G25" i="12"/>
  <c r="J26" i="15"/>
  <c r="F26" i="15"/>
  <c r="J66" i="12"/>
  <c r="I66" i="15"/>
  <c r="K73" i="15"/>
  <c r="P65" i="12"/>
  <c r="J9" i="14"/>
  <c r="O17" i="12"/>
  <c r="N17" i="12"/>
  <c r="N17" i="15"/>
  <c r="M17" i="15"/>
  <c r="K8" i="7"/>
  <c r="J8" i="7"/>
  <c r="I8" i="7"/>
  <c r="H8" i="7"/>
  <c r="F8" i="7"/>
  <c r="G8" i="7"/>
  <c r="L10" i="7" l="1"/>
  <c r="M10" i="7" s="1"/>
  <c r="O19" i="12"/>
  <c r="N19" i="12"/>
  <c r="M19" i="15"/>
  <c r="O23" i="12"/>
  <c r="N23" i="12"/>
  <c r="L26" i="7"/>
  <c r="L26" i="20" s="1"/>
  <c r="M26" i="20" s="1"/>
  <c r="L22" i="7"/>
  <c r="J22" i="20"/>
  <c r="G22" i="20"/>
  <c r="F22" i="20"/>
  <c r="I22" i="20"/>
  <c r="H22" i="20"/>
  <c r="I8" i="20"/>
  <c r="F8" i="20"/>
  <c r="G8" i="20"/>
  <c r="J8" i="20"/>
  <c r="H8" i="20"/>
  <c r="N24" i="15"/>
  <c r="M24" i="15"/>
  <c r="O24" i="12"/>
  <c r="N24" i="12"/>
  <c r="F24" i="14"/>
  <c r="J24" i="14" s="1"/>
  <c r="I14" i="7"/>
  <c r="I18" i="7"/>
  <c r="J18" i="7"/>
  <c r="H18" i="7"/>
  <c r="G18" i="7"/>
  <c r="N33" i="15"/>
  <c r="M33" i="15"/>
  <c r="F33" i="14"/>
  <c r="J33" i="14" s="1"/>
  <c r="N33" i="12"/>
  <c r="O33" i="12"/>
  <c r="K18" i="7"/>
  <c r="G65" i="12"/>
  <c r="I73" i="12" s="1"/>
  <c r="F65" i="15"/>
  <c r="H73" i="15" s="1"/>
  <c r="M26" i="15"/>
  <c r="N26" i="15"/>
  <c r="N25" i="12"/>
  <c r="O25" i="12"/>
  <c r="F25" i="14"/>
  <c r="F26" i="14"/>
  <c r="J26" i="14" s="1"/>
  <c r="O26" i="12"/>
  <c r="N26" i="12"/>
  <c r="M25" i="15"/>
  <c r="N25" i="15"/>
  <c r="L8" i="7"/>
  <c r="L10" i="20" l="1"/>
  <c r="M10" i="20" s="1"/>
  <c r="L22" i="20"/>
  <c r="M22" i="20" s="1"/>
  <c r="L8" i="20"/>
  <c r="M8" i="20" s="1"/>
  <c r="J14" i="7"/>
  <c r="H14" i="7"/>
  <c r="G14" i="7"/>
  <c r="K14" i="7"/>
  <c r="F14" i="7"/>
  <c r="L18" i="7"/>
  <c r="L18" i="20" s="1"/>
  <c r="M18" i="20" s="1"/>
  <c r="N65" i="12"/>
  <c r="J57" i="14"/>
  <c r="P6" i="12"/>
  <c r="Q14" i="12"/>
  <c r="Q11" i="12"/>
  <c r="M65" i="15"/>
  <c r="P11" i="15"/>
  <c r="O6" i="15"/>
  <c r="P14" i="15"/>
  <c r="N65" i="15"/>
  <c r="I73" i="15" s="1"/>
  <c r="O65" i="12"/>
  <c r="J73" i="12" s="1"/>
  <c r="J25" i="14"/>
  <c r="J45" i="14" s="1"/>
  <c r="F45" i="14"/>
  <c r="J2" i="14" s="1"/>
  <c r="J5" i="14" s="1"/>
  <c r="L14" i="7" l="1"/>
  <c r="I55" i="14"/>
  <c r="J4" i="14"/>
  <c r="M8" i="7"/>
  <c r="M12" i="7"/>
  <c r="M18" i="7"/>
  <c r="M22" i="7"/>
  <c r="M24" i="7"/>
  <c r="M26" i="7"/>
  <c r="M28" i="7"/>
  <c r="M30" i="7"/>
  <c r="M32" i="7"/>
  <c r="M34" i="7"/>
  <c r="M36" i="7"/>
  <c r="M38" i="7"/>
  <c r="M40" i="7"/>
  <c r="M42" i="7"/>
  <c r="M44" i="7"/>
  <c r="M46" i="7"/>
  <c r="M48" i="7"/>
  <c r="M50" i="7"/>
  <c r="M52" i="7"/>
  <c r="M54" i="7"/>
  <c r="M14" i="7" l="1"/>
  <c r="L14" i="20"/>
  <c r="M14" i="20" s="1"/>
  <c r="E35" i="5" l="1"/>
  <c r="H35" i="5" l="1"/>
  <c r="H37" i="5"/>
  <c r="H33" i="5"/>
  <c r="H34" i="5" l="1"/>
  <c r="I38" i="5" s="1"/>
  <c r="E20" i="7" s="1"/>
  <c r="E20" i="20" l="1"/>
  <c r="K20" i="7"/>
  <c r="I20" i="7"/>
  <c r="G20" i="7"/>
  <c r="H20" i="7"/>
  <c r="J20" i="7"/>
  <c r="F20" i="7"/>
  <c r="H84" i="5"/>
  <c r="E64" i="7" s="1"/>
  <c r="I84" i="5"/>
  <c r="L20" i="7" l="1"/>
  <c r="M20" i="7"/>
  <c r="J20" i="20"/>
  <c r="F20" i="20"/>
  <c r="I20" i="20"/>
  <c r="G20" i="20"/>
  <c r="K20" i="20"/>
  <c r="H20" i="20"/>
  <c r="E64" i="20"/>
  <c r="J11" i="5"/>
  <c r="O7" i="8" s="1"/>
  <c r="J56" i="14"/>
  <c r="J58" i="14" s="1"/>
  <c r="E4" i="7"/>
  <c r="I6" i="5"/>
  <c r="M5" i="8" s="1"/>
  <c r="E56" i="7"/>
  <c r="E15" i="7" s="1"/>
  <c r="E4" i="20"/>
  <c r="L20" i="20" l="1"/>
  <c r="M20" i="20" s="1"/>
  <c r="G16" i="7"/>
  <c r="G56" i="7" s="1"/>
  <c r="G55" i="7" s="1"/>
  <c r="G1" i="7" s="1"/>
  <c r="J16" i="7"/>
  <c r="J56" i="7" s="1"/>
  <c r="J55" i="7" s="1"/>
  <c r="J1" i="7" s="1"/>
  <c r="I16" i="7"/>
  <c r="I56" i="7" s="1"/>
  <c r="I55" i="7" s="1"/>
  <c r="I1" i="7" s="1"/>
  <c r="F16" i="7"/>
  <c r="F56" i="7" s="1"/>
  <c r="E16" i="20"/>
  <c r="K16" i="7"/>
  <c r="K56" i="7" s="1"/>
  <c r="K55" i="7" s="1"/>
  <c r="K1" i="7" s="1"/>
  <c r="H16" i="7"/>
  <c r="H56" i="7" s="1"/>
  <c r="H55" i="7" s="1"/>
  <c r="H1" i="7" s="1"/>
  <c r="E25" i="7"/>
  <c r="E19" i="7"/>
  <c r="E17" i="7"/>
  <c r="E11" i="7"/>
  <c r="E23" i="7"/>
  <c r="E53" i="7"/>
  <c r="E41" i="7"/>
  <c r="E13" i="7"/>
  <c r="E47" i="7"/>
  <c r="E43" i="7"/>
  <c r="E27" i="7"/>
  <c r="E35" i="7"/>
  <c r="E49" i="7"/>
  <c r="E45" i="7"/>
  <c r="E21" i="7"/>
  <c r="E9" i="7"/>
  <c r="E33" i="7"/>
  <c r="E31" i="7"/>
  <c r="E29" i="7"/>
  <c r="E51" i="7"/>
  <c r="E7" i="7"/>
  <c r="E37" i="7"/>
  <c r="E39" i="7"/>
  <c r="K16" i="20" l="1"/>
  <c r="K56" i="20" s="1"/>
  <c r="L16" i="7"/>
  <c r="M16" i="7" s="1"/>
  <c r="J16" i="20"/>
  <c r="J56" i="20" s="1"/>
  <c r="E56" i="20"/>
  <c r="E49" i="20" s="1"/>
  <c r="G16" i="20"/>
  <c r="G56" i="20" s="1"/>
  <c r="F16" i="20"/>
  <c r="I16" i="20"/>
  <c r="I56" i="20" s="1"/>
  <c r="H16" i="20"/>
  <c r="H56" i="20" s="1"/>
  <c r="F55" i="7"/>
  <c r="L56" i="7"/>
  <c r="E55" i="7"/>
  <c r="K55" i="20" l="1"/>
  <c r="K1" i="20" s="1"/>
  <c r="G55" i="20"/>
  <c r="G1" i="20" s="1"/>
  <c r="I55" i="20"/>
  <c r="I1" i="20" s="1"/>
  <c r="J55" i="20"/>
  <c r="J1" i="20" s="1"/>
  <c r="E25" i="20"/>
  <c r="E11" i="20"/>
  <c r="E39" i="20"/>
  <c r="E27" i="20"/>
  <c r="E45" i="20"/>
  <c r="E15" i="20"/>
  <c r="L16" i="20"/>
  <c r="M16" i="20" s="1"/>
  <c r="E35" i="20"/>
  <c r="E41" i="20"/>
  <c r="E47" i="20"/>
  <c r="E13" i="20"/>
  <c r="E37" i="20"/>
  <c r="E21" i="20"/>
  <c r="E9" i="20"/>
  <c r="E19" i="20"/>
  <c r="E23" i="20"/>
  <c r="E33" i="20"/>
  <c r="E17" i="20"/>
  <c r="E29" i="20"/>
  <c r="E7" i="20"/>
  <c r="F56" i="20"/>
  <c r="F55" i="20" s="1"/>
  <c r="E43" i="20"/>
  <c r="E31" i="20"/>
  <c r="E53" i="20"/>
  <c r="H55" i="20"/>
  <c r="H1" i="20" s="1"/>
  <c r="E51" i="20"/>
  <c r="F1" i="7"/>
  <c r="L55" i="7"/>
  <c r="E55" i="20" l="1"/>
  <c r="L56" i="20"/>
  <c r="M56" i="20" s="1"/>
  <c r="F1" i="20"/>
  <c r="L55" i="20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<sst xmlns="http://schemas.openxmlformats.org/spreadsheetml/2006/main" count="736" uniqueCount="380">
  <si>
    <t>ITEM</t>
  </si>
  <si>
    <t>DESCRIÇÃO</t>
  </si>
  <si>
    <t>PLANILHA ORÇAMENTÁRIA DE CUSTOS</t>
  </si>
  <si>
    <t>CÓDIGO</t>
  </si>
  <si>
    <t>INDIRETA</t>
  </si>
  <si>
    <t>CREA</t>
  </si>
  <si>
    <t xml:space="preserve">FORMA DE EXECUÇÃO: </t>
  </si>
  <si>
    <t>Carimbo e assinatura do engenheiro responsável técnico pela elaboração da planilha</t>
  </si>
  <si>
    <t>Carimbo e assinatura do prefeito</t>
  </si>
  <si>
    <t>2.1</t>
  </si>
  <si>
    <t>(  X  )</t>
  </si>
  <si>
    <t>61/924 / D</t>
  </si>
  <si>
    <t>Eng. Civil WILSON DIAS DA FONSECA JÚNIOR</t>
  </si>
  <si>
    <t>UNID</t>
  </si>
  <si>
    <t>QUANTID</t>
  </si>
  <si>
    <t>CRONOGRAMA FÍSICO-FINANCEIRO</t>
  </si>
  <si>
    <t>ETAPAS/DESCRIÇÃO</t>
  </si>
  <si>
    <t>FÍSICO/ FINANCEIRO</t>
  </si>
  <si>
    <t>TOTAL  ETAPAS</t>
  </si>
  <si>
    <t>Físico %</t>
  </si>
  <si>
    <t>Financeiro</t>
  </si>
  <si>
    <t>TOTAL</t>
  </si>
  <si>
    <t xml:space="preserve"> </t>
  </si>
  <si>
    <t>Carimbo e assinatura do engenheiro responsável técnico pela elaboração do cronograma</t>
  </si>
  <si>
    <t>SERVIÇOS PRELIMINARES</t>
  </si>
  <si>
    <t>PREFEITURA MUNICIPAL DE SANTA CRUZ DO ESCALVADO</t>
  </si>
  <si>
    <t>MEMÓRIA DE CÁLCULO</t>
  </si>
  <si>
    <t xml:space="preserve">VALOR DA OBRA: </t>
  </si>
  <si>
    <t>TOTAL GERAL</t>
  </si>
  <si>
    <t>global</t>
  </si>
  <si>
    <t>2.2</t>
  </si>
  <si>
    <t>ED-16660</t>
  </si>
  <si>
    <t>%</t>
  </si>
  <si>
    <t>APILOAMENTO DO FUNDO DE VALAS COM PLACA VIBRATÓRIA</t>
  </si>
  <si>
    <t>REATERRO COMPACTADO DE VALA COM EQUIPAMENTO PLACA VIBRATÓRIA</t>
  </si>
  <si>
    <t>ED-51094</t>
  </si>
  <si>
    <t>ED-51121</t>
  </si>
  <si>
    <t>MÊS 1</t>
  </si>
  <si>
    <t>MÊS 2</t>
  </si>
  <si>
    <t>MÊS 3</t>
  </si>
  <si>
    <t>MÊS 4</t>
  </si>
  <si>
    <t>MÊS 5</t>
  </si>
  <si>
    <t>MÊS 6</t>
  </si>
  <si>
    <t xml:space="preserve">  </t>
  </si>
  <si>
    <t xml:space="preserve"> 1.1 </t>
  </si>
  <si>
    <t xml:space="preserve"> ED-21776 </t>
  </si>
  <si>
    <t>ENCARREGADO GERAL DE OBRAS COM ENCARGOS COMPLEMENTARES</t>
  </si>
  <si>
    <t xml:space="preserve"> 1.2</t>
  </si>
  <si>
    <t>ED-21777</t>
  </si>
  <si>
    <t>TÉCNICO EM SEGURANÇA DO TRABALHO COM ENCARGOS COMPLEMENTARES</t>
  </si>
  <si>
    <t xml:space="preserve"> 1.3</t>
  </si>
  <si>
    <t xml:space="preserve"> ED-21770 </t>
  </si>
  <si>
    <t>ENGENHEIRO CIVIL DE OBRA PLENO COM ENCARGOS COMPLEMENTARES</t>
  </si>
  <si>
    <t>3.1</t>
  </si>
  <si>
    <t>cronograma</t>
  </si>
  <si>
    <t>COMPOSIÇÃO ANALÍTICA DE LDI OU BDI</t>
  </si>
  <si>
    <t xml:space="preserve">Nº do Contrato de Repasse: </t>
  </si>
  <si>
    <t xml:space="preserve">Proponente: </t>
  </si>
  <si>
    <t xml:space="preserve">Empreendimento: </t>
  </si>
  <si>
    <t>Tipo de Obra:</t>
  </si>
  <si>
    <t>Construção de Rodovias (Pavimentação Urbana)</t>
  </si>
  <si>
    <t>Base de Cálculo do ISS da Prefeitura:</t>
  </si>
  <si>
    <t>Orçamento Desonerado? (Sim ou Não)</t>
  </si>
  <si>
    <t>VALORES DE REFERÊNCIA - %</t>
  </si>
  <si>
    <t>BDI ADOTADO - %</t>
  </si>
  <si>
    <t>(1° Quartil)</t>
  </si>
  <si>
    <t>MÉDIA</t>
  </si>
  <si>
    <t>(3° Quartil)</t>
  </si>
  <si>
    <t>Administração Central</t>
  </si>
  <si>
    <t>Seguros e Garantias (*)</t>
  </si>
  <si>
    <t>Riscos</t>
  </si>
  <si>
    <t>Despesas Financeiras</t>
  </si>
  <si>
    <t>Lucro</t>
  </si>
  <si>
    <t>COFINS</t>
  </si>
  <si>
    <t>PIS</t>
  </si>
  <si>
    <t>ISS (**)</t>
  </si>
  <si>
    <t>LIMITE BDI C/ DESONERAÇÃO</t>
  </si>
  <si>
    <t>LIMITE BDI S/ DESONERAÇÃO</t>
  </si>
  <si>
    <t>Fonte da composição, valores de referência e fórmula do BDI:  Acórdão 2622/2013-TCU-Plenário</t>
  </si>
  <si>
    <t>Desoneração: Lei n°13.161/2015</t>
  </si>
  <si>
    <t>Verificação do  BDI:</t>
  </si>
  <si>
    <t>BDI S/ DESN</t>
  </si>
  <si>
    <t>BDI C/ DESN</t>
  </si>
  <si>
    <t>Os valores de BDI acima foram calculados com emprego da fórmula abaixo:</t>
  </si>
  <si>
    <t>Onde:</t>
  </si>
  <si>
    <t>AC = taxa de rateio da Administração Central;</t>
  </si>
  <si>
    <t>DF = taxa das despesas financeiras;</t>
  </si>
  <si>
    <t>R, S, G = taxa de risco, seguro e garantia do empreendimento;</t>
  </si>
  <si>
    <t>I = taxa de tributos (Onerado: I = COFINS+PIS+ISS / Desonerado: I = COFINS+PIS+ISS+CPRB);</t>
  </si>
  <si>
    <t>L = taxa de lucro.</t>
  </si>
  <si>
    <t>Resp. Tomador:</t>
  </si>
  <si>
    <t>Cargo:</t>
  </si>
  <si>
    <t>Sigla S/N</t>
  </si>
  <si>
    <t>SIM</t>
  </si>
  <si>
    <t>NÃO</t>
  </si>
  <si>
    <t>AC</t>
  </si>
  <si>
    <t>SG</t>
  </si>
  <si>
    <t>R</t>
  </si>
  <si>
    <t>DF</t>
  </si>
  <si>
    <t>L</t>
  </si>
  <si>
    <t>ISS</t>
  </si>
  <si>
    <t>DESON.</t>
  </si>
  <si>
    <t>LIMITE BDI</t>
  </si>
  <si>
    <t>Sigla Obras</t>
  </si>
  <si>
    <t>MÍN</t>
  </si>
  <si>
    <t>MED</t>
  </si>
  <si>
    <t>MAX</t>
  </si>
  <si>
    <t>Construção de Edifícios e Reformas (Quadras, unidades habitacionais, escolas, restaurantes, etc)</t>
  </si>
  <si>
    <t>Construção de Praças</t>
  </si>
  <si>
    <t>Construção de Ferrovias</t>
  </si>
  <si>
    <t>Construção de Redes de Abastecimento de Água, Coleta de Esgoto e Construções Correlatas</t>
  </si>
  <si>
    <t>Construção e Manutenção de Estações e Redes de Distribuição de Energia Elétrica</t>
  </si>
  <si>
    <t>Portuárias, Marítimas e Fluviais</t>
  </si>
  <si>
    <t>Fornecimento de Materiais e Equipamentos</t>
  </si>
  <si>
    <t>área</t>
  </si>
  <si>
    <t>3.3</t>
  </si>
  <si>
    <t>área = 1,00 x 2,00</t>
  </si>
  <si>
    <t>ADMINISTRAÇÃO LOCAL</t>
  </si>
  <si>
    <t>61.924 / D</t>
  </si>
  <si>
    <t>3.1.1</t>
  </si>
  <si>
    <t>3.1.2</t>
  </si>
  <si>
    <t>M3</t>
  </si>
  <si>
    <t>M2</t>
  </si>
  <si>
    <t>MÊS</t>
  </si>
  <si>
    <t>M</t>
  </si>
  <si>
    <t>estimativa</t>
  </si>
  <si>
    <t>ED-51142</t>
  </si>
  <si>
    <t>M3xKM</t>
  </si>
  <si>
    <t>limite entre 3,49 a 8,87</t>
  </si>
  <si>
    <t>ED-51145</t>
  </si>
  <si>
    <t>PASSEIOS DE CONCRETO E = 6 CM, FCK = 10 MPA, JUNTA SECA</t>
  </si>
  <si>
    <t>FOLHA Nº:  01</t>
  </si>
  <si>
    <t>DESCRIÇÃO DOS SERVIÇOS</t>
  </si>
  <si>
    <t>BDI</t>
  </si>
  <si>
    <t>FORNECIMENTO E COLOCAÇÃO DE PLACA DE OBRA EM CHAPA GALVANIZADA #26, ESP. 0,45 MM, PLOTADA COM ADESIVO VINÍLICO, AFIXADA C/ REBITES 4,8X40 MM, EM ESTRUTURA METÁLICA DE METALON 20X20 MM, ESP. 1,25 MM, INCL SUPORTE EM EUCALIPTO AUTOCLAVADO PINTADO COM TINTA PVA DUAS (2) DEMÃOS</t>
  </si>
  <si>
    <t>WILSON DIAS FONSECA JR.</t>
  </si>
  <si>
    <t>FERNANDO HENRIQUE DE SOUZA</t>
  </si>
  <si>
    <t>Eng. Civil - CREA 61.924 / D</t>
  </si>
  <si>
    <t>Eng. Civil - CREA MG 201.599/D</t>
  </si>
  <si>
    <t>Sócio-proprietário</t>
  </si>
  <si>
    <t>Engenheiro Responsável pela FISCALIZAÇÃO</t>
  </si>
  <si>
    <t>Engenheiro Responsável pela OBRA</t>
  </si>
  <si>
    <t>RELATÓRIO FOTOGRÁFICO DA MEDIÇÃO</t>
  </si>
  <si>
    <t>QUANT. TOTAL</t>
  </si>
  <si>
    <t>PREÇO UNIT.</t>
  </si>
  <si>
    <t>VALOR TOTAL</t>
  </si>
  <si>
    <t>PLANILHA DE ADITAMENTO</t>
  </si>
  <si>
    <t>Valores R$</t>
  </si>
  <si>
    <t>valor medição final a ser feita</t>
  </si>
  <si>
    <t>valor WILSON</t>
  </si>
  <si>
    <t>valor HUGO</t>
  </si>
  <si>
    <t>DESCONTO</t>
  </si>
  <si>
    <t>Profissional: WILSON DIAS DA FONSECA JR.</t>
  </si>
  <si>
    <t>CREA: 61.924/D</t>
  </si>
  <si>
    <t xml:space="preserve">LICITAÇÃO: Processo Licitatório nº 115/2026 - Concorrência nº 028/2026 - Contrato nº 028/2026 </t>
  </si>
  <si>
    <t>BDI ADOTADO:</t>
  </si>
  <si>
    <t>REGIME DE EXECUÇÃO: INDIRETO</t>
  </si>
  <si>
    <t>ORÇAMENTO: DESONERADO</t>
  </si>
  <si>
    <t>01</t>
  </si>
  <si>
    <t>QUANTIDADE ACUMULADA ANTERIOR</t>
  </si>
  <si>
    <t>QUANTIDADE MEDIDA</t>
  </si>
  <si>
    <t>QUANTIDADE ACUMULADA</t>
  </si>
  <si>
    <t>VALOR MEDIDO</t>
  </si>
  <si>
    <t>VALOR ACUMULADO</t>
  </si>
  <si>
    <t>PERCENTUAL ACUMULADO</t>
  </si>
  <si>
    <t>SALDO FINANCEIRO POR ITEM</t>
  </si>
  <si>
    <t>PLANILHA PARA ACOMPANHAMENTO DE MEDIÇÕES</t>
  </si>
  <si>
    <t>DATA INICIAL:</t>
  </si>
  <si>
    <t>ordem de serviço</t>
  </si>
  <si>
    <t>DATA FINAL:</t>
  </si>
  <si>
    <t xml:space="preserve">DATA MEDIÇÃO: </t>
  </si>
  <si>
    <t>CONSTRUTORA SANCARLOS LTDA</t>
  </si>
  <si>
    <t xml:space="preserve">EMPRESA: </t>
  </si>
  <si>
    <t>SALDO DE QUANTITATIVO</t>
  </si>
  <si>
    <t>TOTAL DA MEDIÇÃO</t>
  </si>
  <si>
    <t>02</t>
  </si>
  <si>
    <t>PREÇO UNITÁRIO</t>
  </si>
  <si>
    <t>VALOR ADITIVADO</t>
  </si>
  <si>
    <t xml:space="preserve">DATA: </t>
  </si>
  <si>
    <t>VALOR ADITIVO:</t>
  </si>
  <si>
    <t>VALOR CONTRATADO:</t>
  </si>
  <si>
    <t>VALOR TOTAL ADITADO:</t>
  </si>
  <si>
    <t>% ADITIVO:</t>
  </si>
  <si>
    <t>QUANT. CONTRAT.</t>
  </si>
  <si>
    <t>QUANT. ADITIVADA</t>
  </si>
  <si>
    <t xml:space="preserve">PRAZO EXECUÇÃO:  </t>
  </si>
  <si>
    <t>medição anterior</t>
  </si>
  <si>
    <t>VALOR TOTAL CONTRAT.</t>
  </si>
  <si>
    <t>VALOR TOTAL ADITIVADO</t>
  </si>
  <si>
    <t xml:space="preserve">BOLETIM n°: </t>
  </si>
  <si>
    <t>valor pago até última medição</t>
  </si>
  <si>
    <t>RELATÓRIO FOTOGRÁFICO - ANTES DA LICITAÇÃO</t>
  </si>
  <si>
    <t>PRÇO UN S/ BDI</t>
  </si>
  <si>
    <t>PRÇO UN C/ BDI</t>
  </si>
  <si>
    <t>3.4.2</t>
  </si>
  <si>
    <t>3.5</t>
  </si>
  <si>
    <t>3.5.1</t>
  </si>
  <si>
    <t>3.5.2</t>
  </si>
  <si>
    <t>3.5.3</t>
  </si>
  <si>
    <t>DRENAGEM PLUVIAL</t>
  </si>
  <si>
    <t>3.4</t>
  </si>
  <si>
    <t>3.4.1</t>
  </si>
  <si>
    <t>ED-51133</t>
  </si>
  <si>
    <t>ED-29230</t>
  </si>
  <si>
    <t>TRANSPORTE DE MATERIAL DE QUALQUER NATUREZA COM CARRINHO DE MÃO, COM DISTÂNCIAS MENORES OU IGUAIS A 50M, INCLUSIVE CARGA/DESCARGA</t>
  </si>
  <si>
    <t>TRANSPORTE DE MATERIAL DE QUALQUER NATUREZA EM CAMINHÃO, DISTÂNCIA MAIOR QUE 1KM E MENOR OU IGUAL A 2KM, DENTRO DO PERÍMETRO URBANO, EXCLUSIVE CARGA, INCLUSIVE DESCARGA</t>
  </si>
  <si>
    <t>MÊS 7</t>
  </si>
  <si>
    <t>MÊS 8</t>
  </si>
  <si>
    <t>MÊS 9</t>
  </si>
  <si>
    <t>MÊS 10</t>
  </si>
  <si>
    <t>MÊS 11</t>
  </si>
  <si>
    <t>MÊS 12</t>
  </si>
  <si>
    <t>ED-49643</t>
  </si>
  <si>
    <t>FÔRMA E DESFORMA DE TÁBUA E SARRAFO, REAPROVEITAMENTO (3X), EXCLUSIVE ESCORAMENTO</t>
  </si>
  <si>
    <t>ED-48298</t>
  </si>
  <si>
    <t>CORTE, DOBRA E ARMAÇÃO DE AÇO CA-50/60</t>
  </si>
  <si>
    <t>ED-49630</t>
  </si>
  <si>
    <t>FORNECIMENTO CONCRETO ESTRUTURAL, PREPARADO OBRA, COM FCK 25 MPA, INCL LANÇAMENTO, ADENSAMENTO E ACABAMENTO</t>
  </si>
  <si>
    <t>ED-51107</t>
  </si>
  <si>
    <t>REATERRO COMPACTADO COM EQUIPAMENTO PLACA VIBRATÓRIA</t>
  </si>
  <si>
    <t>PAVIMENTAÇÃO</t>
  </si>
  <si>
    <r>
      <t xml:space="preserve">OBRA: </t>
    </r>
    <r>
      <rPr>
        <b/>
        <sz val="9"/>
        <color indexed="8"/>
        <rFont val="Calibri"/>
        <family val="2"/>
      </rPr>
      <t>SERVIÇOS DE INFRAESTRUTURA</t>
    </r>
  </si>
  <si>
    <t>DEMOLIÇÕES E REMOÇÕES</t>
  </si>
  <si>
    <t>3.1.3</t>
  </si>
  <si>
    <t>4.1</t>
  </si>
  <si>
    <t>4.2</t>
  </si>
  <si>
    <t>4.3</t>
  </si>
  <si>
    <t>4.3.1</t>
  </si>
  <si>
    <t>4.3.2</t>
  </si>
  <si>
    <t>4.4</t>
  </si>
  <si>
    <t>4.4.1</t>
  </si>
  <si>
    <t>4.4.2</t>
  </si>
  <si>
    <t>4.4.3</t>
  </si>
  <si>
    <t>4.4.4</t>
  </si>
  <si>
    <t>4.4.5</t>
  </si>
  <si>
    <t>4.4.6</t>
  </si>
  <si>
    <t>ED-51139</t>
  </si>
  <si>
    <t>GUIA DE MEIO FIO, EM CONCRETO COM FCK 20MPA, PRÉ MOLDADA, MFC 01 PADRÃO DER MG, DIMENSÕES (12X16,7X35)CM, EXCLUSIVE SARJETA, INCLUSIVE ESCAVAÇÃO, APILOAMENTO E TRANSPORTE COM RETIRADA DO MATERIAL ESCAVADO (EM CAÇAMBA)</t>
  </si>
  <si>
    <t>ED-8917</t>
  </si>
  <si>
    <t>EXECUÇÃO DE PAVIMENTO COM PISO INTERTRAVADO, TIPO RETANGULAR, ESP. 10CM, COM FCK DE 35MPA, INCLUSIVE COLCHÃO DE AREIA, ESP. 6CM, PARA ASSENTAMENTO, COMPACTAÇÃO MECANIZADA, CARGA E DESCARGA MECÂNICA EM CAMINHÃO, EXCLUSIVE TRANSPORTE DE PISO INTERTRAVADO</t>
  </si>
  <si>
    <t>ÁREA 01 - RUA SAGRADOS CORAÇÕES</t>
  </si>
  <si>
    <t xml:space="preserve">REMOÇÃO DE MEIO FIO PRÉ MOLDADO DE CONCRETO </t>
  </si>
  <si>
    <t>EXECUÇÃO DE CANTEIROS</t>
  </si>
  <si>
    <t>ED-48444</t>
  </si>
  <si>
    <t>DEMOLIÇÃO MECANIZADA DE CONCRETO, SEM ARMAÇÃO, COM EQUIPAMENTO PNEUMÁTICO, INCLUSIVE AFASTAMENTO E EMPILHAMENTO, EXCLUSIVE TRANSPORTE E RETIRADA DO MATERIAL DEMOLIDO</t>
  </si>
  <si>
    <t>ESCAVAÇÃO MANUAL DE VALA COM PROFUNDIDADE MENOR OU IGUAL A 1,5M, INCLUSIVE DESCARGA LATERAL</t>
  </si>
  <si>
    <t>CINTA EM CONCRETO ARMADO</t>
  </si>
  <si>
    <t>KG</t>
  </si>
  <si>
    <t>ED-50437</t>
  </si>
  <si>
    <t>PLANTIO DE GRAMA ESMERALDA EM PLACAS, INCLUSIVE TERRA VEGETAL E CONSERVAÇÃO POR TRINTA (30) DIAS</t>
  </si>
  <si>
    <t>ED-50446</t>
  </si>
  <si>
    <t>FORNECIMENTO DE ARBUSTO BELA EMÍLIA COM ALTURA MÍNIMA DE 15CM, EXCLUSIVE PLANTIO</t>
  </si>
  <si>
    <t>ED-50433</t>
  </si>
  <si>
    <t>PLANTIO E PREPARO DE COVAS DE ARBUSTOS ORNAMENTAIS EM GERAL, EXCETO FORNECIMENTO DAS MUDAS</t>
  </si>
  <si>
    <t>GUARDA CORPO FIXADO EM CINTA DE CONCRETO ARMADO</t>
  </si>
  <si>
    <t>ED-48442</t>
  </si>
  <si>
    <t>DEMOLIÇÃO MECANIZADA DE CONCRETO, SEM ARMAÇÃO, COM EQUIPAMENTO ELÉTRICO, INCLUSIVE AFASTAMENTO E EMPILHAMENTO, EXCLUSIVE TRANSPORTE E RETIRADA DO MATERIAL DEMOLIDO</t>
  </si>
  <si>
    <t>3.1.4</t>
  </si>
  <si>
    <t>3.3.1</t>
  </si>
  <si>
    <t>3.3.2</t>
  </si>
  <si>
    <t>3.3.3</t>
  </si>
  <si>
    <t>4.1.1</t>
  </si>
  <si>
    <t>4.1.2</t>
  </si>
  <si>
    <t>4.1.3</t>
  </si>
  <si>
    <t>4.1.4</t>
  </si>
  <si>
    <t>ED-51115</t>
  </si>
  <si>
    <t>ESCAVAÇÃO MECÂNICA DE VALAS COM PROFUNDIDADE MENOR OU IGUAL A 1,5M, INCLUSIVE CARGA EM CAMINHÃO, EXCLUSIVE TRANSPORTE E DESCARGA</t>
  </si>
  <si>
    <t>COORDENADAS: (área 01)</t>
  </si>
  <si>
    <t>ÁREA 02 - RUA OTÁVIO SOARES</t>
  </si>
  <si>
    <t>comprimento existente</t>
  </si>
  <si>
    <t>volume de concreto a ser demolido</t>
  </si>
  <si>
    <t>transporte do volume de material demolido</t>
  </si>
  <si>
    <t>escavação de vala p/ execução da cinta</t>
  </si>
  <si>
    <t>área de fôrmas da cinta</t>
  </si>
  <si>
    <t>área = comprimento x altura x 2 lados</t>
  </si>
  <si>
    <t>peso de aço = volume de concreto x 30kg/m3</t>
  </si>
  <si>
    <t>volume de concreto da cinta</t>
  </si>
  <si>
    <t>volume = comprimento x altura x largura</t>
  </si>
  <si>
    <t>volume de material aterrado</t>
  </si>
  <si>
    <t>quantidade</t>
  </si>
  <si>
    <t>comprimento</t>
  </si>
  <si>
    <t>volume de escavação de valas</t>
  </si>
  <si>
    <t>comprimento da tubulação</t>
  </si>
  <si>
    <t>área de apiloamento</t>
  </si>
  <si>
    <t>área CAD</t>
  </si>
  <si>
    <t>volume de concreto</t>
  </si>
  <si>
    <t>volume de demolição da contenção existente para passagem da tubulação</t>
  </si>
  <si>
    <t>volume = largura x altura x espessura</t>
  </si>
  <si>
    <t>volume de concreto p/ recomposição da contenção</t>
  </si>
  <si>
    <t>área de formas p/ recomposição da contenção</t>
  </si>
  <si>
    <t>área = largura x altura</t>
  </si>
  <si>
    <t>volume concreto = (área demolição - área tubo) x espessura</t>
  </si>
  <si>
    <t>volume escavação vala</t>
  </si>
  <si>
    <t>volume = comprimento x largura x profundidade</t>
  </si>
  <si>
    <t>volume reaterro = volume escavação - seção do tubo</t>
  </si>
  <si>
    <t>volume de reaterro</t>
  </si>
  <si>
    <t>comprimento existente CAD</t>
  </si>
  <si>
    <t>escavação de vala p/ execução da cinta CAD</t>
  </si>
  <si>
    <t>comprimento CAD</t>
  </si>
  <si>
    <t>ED-51135</t>
  </si>
  <si>
    <t>GUIA DE CORDÃO BOLEADO, EM CONCRETO COM FCK 20MPA, PRÉ MOLDADA, 10X10CM (ALTURA X LARGURA), INCLUSIVE UMA (1) FIADA DE BLOCO DE CONCRETO, ESP. 9CM, ESCAVAÇÃO, APILOAMENTO E TRANSPORTE COM RETIRADA DO MATERIAL ESCAVADO (EM CAÇAMBA)</t>
  </si>
  <si>
    <t>comprimento de cinta</t>
  </si>
  <si>
    <t>áreas de canteiros</t>
  </si>
  <si>
    <t>SINAPI 99845</t>
  </si>
  <si>
    <t>GUARDA-CORPO DE AÇO GALVANIZADO DE 1,10M, MONTANTES TUBULARES DE 100X50MM ESPAÇADOS DE 1,20M, TRAVESSA SUPERIOR DE 3", GRADIL EM CANTONEIRA 51X51X4,8 MM E BARRAS CHATAS NA VERTICAL DE 32X4,8 MM, FIXADO COM ADESIVO ESTRUTURAL EPOXI. AF_10/2025</t>
  </si>
  <si>
    <t>3.4.3</t>
  </si>
  <si>
    <t>ED-8915</t>
  </si>
  <si>
    <t>EXECUÇÃO DE PAVIMENTO COM PISO INTERTRAVADO, TIPO RETANGULAR, ESP. 6CM, COM FCK DE 35MPA, INCLUSIVE COLCHÃO DE AREIA, ESP. 6CM, PARA ASSENTAMENTO, COMPACTAÇÃO MECANIZADA, CARGA E DESCARGA MECÂNICA EM CAMINHÃO, EXCLUSIVE TRANSPORTE DE PISO INTERTRAVADO</t>
  </si>
  <si>
    <t>4.3.3</t>
  </si>
  <si>
    <t>3 (três) meses</t>
  </si>
  <si>
    <t>(3 meses x 4 semanas x 5 dias x 8 horas) / 220 horas</t>
  </si>
  <si>
    <t>(3 meses x 4 semanas x 5 dias x 0,1 horas) / 220 horas</t>
  </si>
  <si>
    <t>4.4.7</t>
  </si>
  <si>
    <t>PAISAGISMO</t>
  </si>
  <si>
    <t>4.2.1</t>
  </si>
  <si>
    <t>4.2.2</t>
  </si>
  <si>
    <t>4.2.3</t>
  </si>
  <si>
    <t>4.2.4</t>
  </si>
  <si>
    <t>4.2.5</t>
  </si>
  <si>
    <t>4.2.5.1</t>
  </si>
  <si>
    <t>4.2.5.2</t>
  </si>
  <si>
    <t>4.2.5.3</t>
  </si>
  <si>
    <t>4.2.5.4</t>
  </si>
  <si>
    <t>4.4.8</t>
  </si>
  <si>
    <t>4.4.9</t>
  </si>
  <si>
    <t>4.2.6</t>
  </si>
  <si>
    <t>4.2.7</t>
  </si>
  <si>
    <t>ED-50392</t>
  </si>
  <si>
    <t>MOBILIZAÇÃO E DESMOBILIZAÇÃO OBRA DISTANTE DE CENTRO URBANO OU REGIÃO LIMÍTROFE COM VALOR ATÉ 1.000.000,00</t>
  </si>
  <si>
    <t>3.2</t>
  </si>
  <si>
    <t>3.2.1</t>
  </si>
  <si>
    <t>3.2.2</t>
  </si>
  <si>
    <t>3.2.2.1</t>
  </si>
  <si>
    <t>3.2.2.2</t>
  </si>
  <si>
    <t>3.2.2.3</t>
  </si>
  <si>
    <t>3.2.2.4</t>
  </si>
  <si>
    <t>3.4.4</t>
  </si>
  <si>
    <t>3.4.5</t>
  </si>
  <si>
    <t>3.4.6</t>
  </si>
  <si>
    <t>3.6</t>
  </si>
  <si>
    <t>3.6.1</t>
  </si>
  <si>
    <t>3.6.2</t>
  </si>
  <si>
    <t>3.6.3</t>
  </si>
  <si>
    <t>3.6.4</t>
  </si>
  <si>
    <t>CREA 61.924/D</t>
  </si>
  <si>
    <t>volume de material demolido x distância de transporte 2km</t>
  </si>
  <si>
    <t>volume de material x distância de transporte 2km</t>
  </si>
  <si>
    <t>comprimento CAD x largura 1,20m</t>
  </si>
  <si>
    <t>volume = comprimento x largura x altura</t>
  </si>
  <si>
    <t>área = remoção de meio fio x 1,20m</t>
  </si>
  <si>
    <t>LAT &gt;&gt;&gt; -20.234981°</t>
  </si>
  <si>
    <t>LON &gt;&gt;&gt; -42.814150°</t>
  </si>
  <si>
    <r>
      <t>LOCAL:</t>
    </r>
    <r>
      <rPr>
        <b/>
        <sz val="9"/>
        <color rgb="FF000000"/>
        <rFont val="Calibri"/>
        <family val="2"/>
      </rPr>
      <t xml:space="preserve"> ÁREAS PÚBLICAS MUNICIPAIS DE SANTA CRUZ DO ESCALVADO (MG)</t>
    </r>
  </si>
  <si>
    <r>
      <t xml:space="preserve">MÊS DE REFERÊNCIA: </t>
    </r>
    <r>
      <rPr>
        <b/>
        <sz val="9"/>
        <color indexed="8"/>
        <rFont val="Calibri"/>
        <family val="2"/>
      </rPr>
      <t>SETOP LESTE-04/26 DES /// SINAPI-08/26 DES</t>
    </r>
    <r>
      <rPr>
        <b/>
        <sz val="9"/>
        <color indexed="8"/>
        <rFont val="Calibri"/>
        <family val="2"/>
        <scheme val="minor"/>
      </rPr>
      <t xml:space="preserve"> </t>
    </r>
  </si>
  <si>
    <t>área CAD (áreas interna + prolongamento da via pública)</t>
  </si>
  <si>
    <t>área CAD (passeio público)</t>
  </si>
  <si>
    <t>ED-9207</t>
  </si>
  <si>
    <t>TUBO DE CONCRETO ARMADO, CLASSE PA1, DIÂMETRO DE 400MM, INCLUSIVE CARGA E DESCARGA MECÂNICA EM CAMINHÃO, ASSENTAMENTO E REJUNTAMENTO, EXCLUSIVE ESCAVAÇÃO E TRANSPORTE</t>
  </si>
  <si>
    <t>4.4.10</t>
  </si>
  <si>
    <t>SUDECAP 19.33.01</t>
  </si>
  <si>
    <t>ESCORAMENTO CONTÍNUO DE VALAS TIPO A - MADEIRA ROLIÇA D= 11 A 15CM - PADRÃO SUDECAP</t>
  </si>
  <si>
    <t>SUDECAP 19.07.02</t>
  </si>
  <si>
    <t>CONCRETO MAGRO PARA BERÇO DE REDE TUBULAR, TRAÇO 1:4,5:4,5, PREPARO MECÂNICO COM BETONEIRA, INCLUI LANÇAMENTO E ACABAMENTO</t>
  </si>
  <si>
    <t>4.4.11</t>
  </si>
  <si>
    <t>4.4.12</t>
  </si>
  <si>
    <t>4.4.13</t>
  </si>
  <si>
    <t>RO-18135</t>
  </si>
  <si>
    <t>RO-18175</t>
  </si>
  <si>
    <t>Boca de Lobo Simples combinada com grelha, quadro e cantoneira pré moldados de concreto   BLS 01 areia e brita comerciais (Execução, incluindo escavação, fornecimento, carga e transporte de todos os materiais)   (Caderno de Drenagem RT 01.47.d)</t>
  </si>
  <si>
    <t>área = comprimento x altura</t>
  </si>
  <si>
    <t xml:space="preserve">área = comprimento x largura </t>
  </si>
  <si>
    <t>m3/m</t>
  </si>
  <si>
    <t>volume = comprimento x 0,43m3/m (caderno SUDECAP)</t>
  </si>
  <si>
    <t>Caixa de Passagem Tipo A Ø=80 cm, areia e brita comerciais (Execução, incluindo fornecimento, carga e transporte de todos os materiais)   (Caderno de Drenagem RT 01.47.d)</t>
  </si>
  <si>
    <t>ED-9210</t>
  </si>
  <si>
    <t>TUBO DE CONCRETO ARMADO, CLASSE PA1, DIÂMETRO DE 800MM, INCLUSIVE CARGA E DESCARGA MECÂNICA EM CAMINHÃO, ASSENTAMENTO E REJUNTAMENTO, EXCLUSIVE ESCAVAÇÃO E TRANSPORTE</t>
  </si>
  <si>
    <t>comprimento x largura = comprimento x 1,2</t>
  </si>
  <si>
    <t>TUBO 400mm=(comprimentox0,80x1,2)-(comprimentox3,14x0,4x0,4x0,25)</t>
  </si>
  <si>
    <t>TUBO 400mm=(comprimentox0,80x1,2)-(comprimentox3,14x0,4x0,4x0,25) + TUBO 800mm=(comprimentox1,4x1,4)-(comprimentox3,14x0,8x0,8x0,25)</t>
  </si>
  <si>
    <t>DATA: 21/09/26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</si>
</sst>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(&quot;R$ &quot;* #,##0.00_);_(&quot;R$ &quot;* \(#,##0.00\);_(&quot;R$ &quot;* &quot;-&quot;??_);_(@_)"/>
    <numFmt numFmtId="165" formatCode="_(* #,##0.00_);_(* \(#,##0.00\);_(* &quot;-&quot;??_);_(@_)"/>
    <numFmt numFmtId="166" formatCode="&quot;R$ &quot;#,##0.00"/>
    <numFmt numFmtId="167" formatCode="[$-416]mmm\-yy;@"/>
    <numFmt numFmtId="168" formatCode="&quot;R$&quot;\ #,##0.00"/>
    <numFmt numFmtId="169" formatCode="_(* #,##0.0000_);_(* \(#,##0.0000\);_(* &quot;-&quot;??_);_(@_)"/>
    <numFmt numFmtId="170" formatCode="#0.0000"/>
    <numFmt numFmtId="171" formatCode="##0.0000"/>
    <numFmt numFmtId="172" formatCode="_-&quot;R$ &quot;* #,##0.00_-;&quot;-R$ &quot;* #,##0.00_-;_-&quot;R$ &quot;* \-??_-;_-@_-"/>
    <numFmt numFmtId="173" formatCode="_(* #,##0.00_);_(* \(#,##0.00\);_(* \-??_);_(@_)"/>
    <numFmt numFmtId="174" formatCode="_-* #,##0.00_-;\-* #,##0.00_-;_-* \-???_-;_-@_-"/>
    <numFmt numFmtId="175" formatCode="_-* #,##0.000000_-;\-* #,##0.000000_-;_-* &quot;-&quot;??_-;_-@_-"/>
  </numFmts>
  <fonts count="5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u/>
      <sz val="7.5"/>
      <color indexed="12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9.5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2"/>
      <name val="Times New Roman"/>
      <family val="1"/>
    </font>
    <font>
      <sz val="8"/>
      <name val="Arial"/>
      <family val="2"/>
    </font>
    <font>
      <sz val="12"/>
      <name val="Times New Roman"/>
      <family val="1"/>
    </font>
    <font>
      <sz val="10"/>
      <color indexed="10"/>
      <name val="Times New Roman"/>
      <family val="1"/>
    </font>
    <font>
      <sz val="12"/>
      <color indexed="10"/>
      <name val="Times New Roman"/>
      <family val="1"/>
    </font>
    <font>
      <b/>
      <sz val="6"/>
      <name val="Times New Roman"/>
      <family val="1"/>
    </font>
    <font>
      <sz val="6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indexed="18"/>
      <name val="Times New Roman"/>
      <family val="1"/>
    </font>
    <font>
      <sz val="10"/>
      <color indexed="55"/>
      <name val="Times New Roman"/>
      <family val="1"/>
    </font>
    <font>
      <sz val="10"/>
      <color indexed="22"/>
      <name val="Times New Roman"/>
      <family val="1"/>
    </font>
    <font>
      <sz val="6"/>
      <color indexed="54"/>
      <name val="Times New Roman"/>
      <family val="1"/>
    </font>
    <font>
      <sz val="6"/>
      <color indexed="22"/>
      <name val="Times New Roman"/>
      <family val="1"/>
    </font>
    <font>
      <sz val="6"/>
      <color indexed="55"/>
      <name val="Times New Roman"/>
      <family val="1"/>
    </font>
    <font>
      <sz val="10"/>
      <color indexed="9"/>
      <name val="Times New Roman"/>
      <family val="1"/>
    </font>
    <font>
      <sz val="11"/>
      <name val="Times New Roman"/>
      <family val="1"/>
    </font>
    <font>
      <u/>
      <sz val="11"/>
      <name val="Times New Roman"/>
      <family val="1"/>
    </font>
    <font>
      <b/>
      <sz val="12"/>
      <color indexed="18"/>
      <name val="Times New Roman"/>
      <family val="1"/>
    </font>
    <font>
      <sz val="6"/>
      <color indexed="18"/>
      <name val="Times New Roman"/>
      <family val="1"/>
    </font>
    <font>
      <i/>
      <sz val="11"/>
      <name val="Times New Roman"/>
      <family val="1"/>
    </font>
    <font>
      <b/>
      <sz val="9"/>
      <color indexed="8"/>
      <name val="Calibri"/>
      <family val="2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sz val="8"/>
      <color indexed="10"/>
      <name val="Calibri"/>
      <family val="2"/>
      <scheme val="minor"/>
    </font>
    <font>
      <sz val="10"/>
      <color indexed="8"/>
      <name val="Calibri"/>
      <family val="2"/>
      <scheme val="minor"/>
    </font>
    <font>
      <sz val="9.5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Times New Roman"/>
      <family val="1"/>
    </font>
    <font>
      <b/>
      <sz val="12"/>
      <color indexed="8"/>
      <name val="Calibri"/>
      <family val="2"/>
      <scheme val="minor"/>
    </font>
    <font>
      <b/>
      <i/>
      <sz val="9"/>
      <name val="Calibri"/>
      <family val="2"/>
      <scheme val="minor"/>
    </font>
    <font>
      <sz val="10"/>
      <color rgb="FF000000"/>
      <name val="Arial"/>
      <family val="2"/>
    </font>
    <font>
      <b/>
      <sz val="9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72" fontId="4" fillId="0" borderId="0"/>
    <xf numFmtId="0" fontId="4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661">
    <xf numFmtId="0" fontId="0" fillId="0" borderId="0" xfId="0"/>
    <xf numFmtId="0" fontId="6" fillId="0" borderId="0" xfId="0" applyFont="1"/>
    <xf numFmtId="0" fontId="8" fillId="0" borderId="0" xfId="0" applyFont="1" applyAlignment="1">
      <alignment horizontal="center" vertical="center"/>
    </xf>
    <xf numFmtId="165" fontId="9" fillId="0" borderId="0" xfId="12" applyFont="1" applyAlignment="1">
      <alignment horizontal="center"/>
    </xf>
    <xf numFmtId="0" fontId="0" fillId="2" borderId="0" xfId="0" applyFill="1"/>
    <xf numFmtId="0" fontId="0" fillId="2" borderId="0" xfId="0" applyFill="1" applyAlignment="1">
      <alignment wrapText="1"/>
    </xf>
    <xf numFmtId="0" fontId="0" fillId="2" borderId="0" xfId="0" applyFill="1" applyAlignment="1">
      <alignment vertical="center"/>
    </xf>
    <xf numFmtId="0" fontId="4" fillId="0" borderId="0" xfId="4"/>
    <xf numFmtId="0" fontId="12" fillId="0" borderId="0" xfId="4" applyFont="1"/>
    <xf numFmtId="0" fontId="4" fillId="0" borderId="0" xfId="4" applyAlignment="1">
      <alignment vertical="center"/>
    </xf>
    <xf numFmtId="0" fontId="4" fillId="0" borderId="0" xfId="4" applyAlignment="1">
      <alignment horizontal="center"/>
    </xf>
    <xf numFmtId="165" fontId="4" fillId="0" borderId="0" xfId="10" applyAlignment="1">
      <alignment horizontal="center"/>
    </xf>
    <xf numFmtId="165" fontId="4" fillId="0" borderId="0" xfId="10"/>
    <xf numFmtId="2" fontId="4" fillId="0" borderId="0" xfId="10" applyNumberFormat="1" applyFont="1" applyBorder="1" applyAlignment="1">
      <alignment horizontal="right"/>
    </xf>
    <xf numFmtId="2" fontId="4" fillId="0" borderId="0" xfId="10" applyNumberFormat="1" applyBorder="1" applyAlignment="1">
      <alignment horizontal="right"/>
    </xf>
    <xf numFmtId="165" fontId="6" fillId="0" borderId="0" xfId="12" applyFont="1"/>
    <xf numFmtId="165" fontId="9" fillId="0" borderId="0" xfId="12" applyFont="1" applyAlignment="1">
      <alignment horizontal="left"/>
    </xf>
    <xf numFmtId="43" fontId="6" fillId="0" borderId="0" xfId="0" applyNumberFormat="1" applyFont="1"/>
    <xf numFmtId="0" fontId="10" fillId="0" borderId="0" xfId="0" applyFont="1"/>
    <xf numFmtId="2" fontId="6" fillId="0" borderId="0" xfId="12" applyNumberFormat="1" applyFont="1" applyBorder="1" applyAlignment="1">
      <alignment horizontal="center"/>
    </xf>
    <xf numFmtId="2" fontId="6" fillId="0" borderId="0" xfId="0" applyNumberFormat="1" applyFont="1" applyAlignment="1">
      <alignment horizontal="center"/>
    </xf>
    <xf numFmtId="0" fontId="5" fillId="0" borderId="0" xfId="0" applyFont="1"/>
    <xf numFmtId="165" fontId="5" fillId="0" borderId="0" xfId="12" applyFont="1" applyBorder="1" applyAlignment="1">
      <alignment horizontal="center" vertical="center"/>
    </xf>
    <xf numFmtId="0" fontId="6" fillId="0" borderId="0" xfId="5" applyFont="1"/>
    <xf numFmtId="0" fontId="4" fillId="0" borderId="0" xfId="6"/>
    <xf numFmtId="0" fontId="4" fillId="0" borderId="0" xfId="5"/>
    <xf numFmtId="0" fontId="4" fillId="0" borderId="0" xfId="5" applyAlignment="1">
      <alignment horizontal="center"/>
    </xf>
    <xf numFmtId="165" fontId="4" fillId="0" borderId="0" xfId="5" applyNumberFormat="1"/>
    <xf numFmtId="2" fontId="4" fillId="0" borderId="0" xfId="5" applyNumberFormat="1"/>
    <xf numFmtId="0" fontId="6" fillId="0" borderId="0" xfId="0" applyFont="1" applyAlignment="1">
      <alignment wrapText="1"/>
    </xf>
    <xf numFmtId="0" fontId="16" fillId="0" borderId="0" xfId="4" applyFont="1" applyAlignment="1">
      <alignment vertical="center"/>
    </xf>
    <xf numFmtId="0" fontId="17" fillId="0" borderId="0" xfId="4" applyFont="1" applyAlignment="1">
      <alignment horizontal="left" vertical="center"/>
    </xf>
    <xf numFmtId="0" fontId="13" fillId="0" borderId="0" xfId="4" applyFont="1" applyAlignment="1">
      <alignment horizontal="center" vertical="center" wrapText="1"/>
    </xf>
    <xf numFmtId="0" fontId="18" fillId="0" borderId="0" xfId="4" applyFont="1" applyAlignment="1">
      <alignment vertical="center"/>
    </xf>
    <xf numFmtId="0" fontId="15" fillId="0" borderId="1" xfId="4" applyFont="1" applyBorder="1" applyAlignment="1">
      <alignment vertical="center" wrapText="1"/>
    </xf>
    <xf numFmtId="0" fontId="19" fillId="0" borderId="0" xfId="4" applyFont="1" applyAlignment="1" applyProtection="1">
      <alignment vertical="center"/>
      <protection hidden="1"/>
    </xf>
    <xf numFmtId="0" fontId="19" fillId="0" borderId="0" xfId="4" applyFont="1" applyAlignment="1">
      <alignment vertical="center"/>
    </xf>
    <xf numFmtId="0" fontId="19" fillId="0" borderId="0" xfId="4" applyFont="1" applyAlignment="1" applyProtection="1">
      <alignment horizontal="left" vertical="center"/>
      <protection hidden="1"/>
    </xf>
    <xf numFmtId="0" fontId="21" fillId="0" borderId="0" xfId="4" applyFont="1" applyAlignment="1" applyProtection="1">
      <alignment vertical="center"/>
      <protection hidden="1"/>
    </xf>
    <xf numFmtId="0" fontId="21" fillId="0" borderId="0" xfId="4" applyFont="1" applyAlignment="1">
      <alignment vertical="center"/>
    </xf>
    <xf numFmtId="0" fontId="13" fillId="3" borderId="2" xfId="4" applyFont="1" applyFill="1" applyBorder="1" applyAlignment="1">
      <alignment horizontal="center" vertical="center" wrapText="1"/>
    </xf>
    <xf numFmtId="0" fontId="13" fillId="3" borderId="3" xfId="4" applyFont="1" applyFill="1" applyBorder="1" applyAlignment="1">
      <alignment horizontal="center" vertical="center" wrapText="1"/>
    </xf>
    <xf numFmtId="0" fontId="15" fillId="0" borderId="4" xfId="4" applyFont="1" applyBorder="1" applyAlignment="1">
      <alignment vertical="center" wrapText="1"/>
    </xf>
    <xf numFmtId="2" fontId="15" fillId="0" borderId="5" xfId="4" applyNumberFormat="1" applyFont="1" applyBorder="1" applyAlignment="1" applyProtection="1">
      <alignment horizontal="center" vertical="center" wrapText="1"/>
      <protection hidden="1"/>
    </xf>
    <xf numFmtId="2" fontId="15" fillId="4" borderId="6" xfId="4" quotePrefix="1" applyNumberFormat="1" applyFont="1" applyFill="1" applyBorder="1" applyAlignment="1" applyProtection="1">
      <alignment horizontal="center" vertical="center" wrapText="1"/>
      <protection locked="0"/>
    </xf>
    <xf numFmtId="2" fontId="15" fillId="4" borderId="0" xfId="4" quotePrefix="1" applyNumberFormat="1" applyFont="1" applyFill="1" applyAlignment="1" applyProtection="1">
      <alignment vertical="center" wrapText="1"/>
      <protection hidden="1"/>
    </xf>
    <xf numFmtId="0" fontId="15" fillId="0" borderId="4" xfId="4" applyFont="1" applyBorder="1" applyAlignment="1">
      <alignment horizontal="left" vertical="center" wrapText="1"/>
    </xf>
    <xf numFmtId="2" fontId="15" fillId="4" borderId="7" xfId="4" applyNumberFormat="1" applyFont="1" applyFill="1" applyBorder="1" applyAlignment="1" applyProtection="1">
      <alignment horizontal="center" vertical="center" wrapText="1"/>
      <protection locked="0"/>
    </xf>
    <xf numFmtId="2" fontId="15" fillId="4" borderId="0" xfId="4" applyNumberFormat="1" applyFont="1" applyFill="1" applyAlignment="1" applyProtection="1">
      <alignment vertical="center" wrapText="1"/>
      <protection hidden="1"/>
    </xf>
    <xf numFmtId="0" fontId="22" fillId="5" borderId="0" xfId="4" applyFont="1" applyFill="1" applyAlignment="1" applyProtection="1">
      <alignment vertical="center"/>
      <protection hidden="1"/>
    </xf>
    <xf numFmtId="0" fontId="22" fillId="5" borderId="0" xfId="4" applyFont="1" applyFill="1" applyAlignment="1" applyProtection="1">
      <alignment vertical="center" wrapText="1"/>
      <protection hidden="1"/>
    </xf>
    <xf numFmtId="2" fontId="15" fillId="0" borderId="8" xfId="4" applyNumberFormat="1" applyFont="1" applyBorder="1" applyAlignment="1" applyProtection="1">
      <alignment horizontal="center" vertical="center" wrapText="1"/>
      <protection hidden="1"/>
    </xf>
    <xf numFmtId="2" fontId="15" fillId="0" borderId="9" xfId="4" applyNumberFormat="1" applyFont="1" applyBorder="1" applyAlignment="1">
      <alignment horizontal="center" vertical="center" wrapText="1"/>
    </xf>
    <xf numFmtId="0" fontId="13" fillId="0" borderId="10" xfId="4" applyFont="1" applyBorder="1" applyAlignment="1">
      <alignment vertical="center" wrapText="1"/>
    </xf>
    <xf numFmtId="2" fontId="13" fillId="0" borderId="11" xfId="4" applyNumberFormat="1" applyFont="1" applyBorder="1" applyAlignment="1" applyProtection="1">
      <alignment horizontal="center" vertical="center" wrapText="1"/>
      <protection hidden="1"/>
    </xf>
    <xf numFmtId="2" fontId="13" fillId="0" borderId="12" xfId="4" applyNumberFormat="1" applyFont="1" applyBorder="1" applyAlignment="1" applyProtection="1">
      <alignment horizontal="center" vertical="center" wrapText="1"/>
      <protection hidden="1"/>
    </xf>
    <xf numFmtId="0" fontId="23" fillId="0" borderId="0" xfId="4" applyFont="1" applyAlignment="1" applyProtection="1">
      <alignment vertical="center"/>
      <protection hidden="1"/>
    </xf>
    <xf numFmtId="0" fontId="24" fillId="0" borderId="0" xfId="4" applyFont="1" applyAlignment="1" applyProtection="1">
      <alignment vertical="center"/>
      <protection hidden="1"/>
    </xf>
    <xf numFmtId="0" fontId="25" fillId="0" borderId="0" xfId="4" applyFont="1" applyAlignment="1" applyProtection="1">
      <alignment vertical="center"/>
      <protection hidden="1"/>
    </xf>
    <xf numFmtId="0" fontId="26" fillId="0" borderId="0" xfId="4" applyFont="1" applyAlignment="1" applyProtection="1">
      <alignment vertical="center"/>
      <protection hidden="1"/>
    </xf>
    <xf numFmtId="0" fontId="15" fillId="0" borderId="0" xfId="4" applyFont="1" applyAlignment="1">
      <alignment vertical="center"/>
    </xf>
    <xf numFmtId="0" fontId="21" fillId="0" borderId="0" xfId="4" applyFont="1" applyAlignment="1">
      <alignment horizontal="right" vertical="center"/>
    </xf>
    <xf numFmtId="2" fontId="15" fillId="0" borderId="13" xfId="4" applyNumberFormat="1" applyFont="1" applyBorder="1" applyAlignment="1" applyProtection="1">
      <alignment horizontal="center" vertical="center" wrapText="1"/>
      <protection hidden="1"/>
    </xf>
    <xf numFmtId="0" fontId="27" fillId="0" borderId="0" xfId="4" applyFont="1" applyAlignment="1" applyProtection="1">
      <alignment vertical="center"/>
      <protection hidden="1"/>
    </xf>
    <xf numFmtId="0" fontId="19" fillId="0" borderId="0" xfId="4" applyFont="1" applyAlignment="1">
      <alignment horizontal="right" vertical="center"/>
    </xf>
    <xf numFmtId="2" fontId="19" fillId="0" borderId="0" xfId="4" applyNumberFormat="1" applyFont="1" applyAlignment="1" applyProtection="1">
      <alignment horizontal="center" vertical="center"/>
      <protection hidden="1"/>
    </xf>
    <xf numFmtId="0" fontId="28" fillId="0" borderId="0" xfId="4" applyFont="1" applyAlignment="1" applyProtection="1">
      <alignment vertical="center"/>
      <protection hidden="1"/>
    </xf>
    <xf numFmtId="0" fontId="29" fillId="0" borderId="0" xfId="4" applyFont="1" applyAlignment="1">
      <alignment horizontal="justify" vertical="center"/>
    </xf>
    <xf numFmtId="0" fontId="29" fillId="0" borderId="0" xfId="4" applyFont="1" applyAlignment="1">
      <alignment horizontal="left" vertical="center"/>
    </xf>
    <xf numFmtId="0" fontId="29" fillId="6" borderId="0" xfId="4" applyFont="1" applyFill="1" applyAlignment="1" applyProtection="1">
      <alignment horizontal="left"/>
      <protection locked="0"/>
    </xf>
    <xf numFmtId="0" fontId="29" fillId="0" borderId="14" xfId="4" applyFont="1" applyBorder="1" applyAlignment="1">
      <alignment horizontal="left" vertical="center"/>
    </xf>
    <xf numFmtId="0" fontId="29" fillId="4" borderId="0" xfId="4" applyFont="1" applyFill="1" applyAlignment="1">
      <alignment horizontal="left" vertical="center"/>
    </xf>
    <xf numFmtId="0" fontId="22" fillId="5" borderId="0" xfId="4" applyFont="1" applyFill="1" applyAlignment="1">
      <alignment vertical="center"/>
    </xf>
    <xf numFmtId="0" fontId="22" fillId="5" borderId="0" xfId="4" applyFont="1" applyFill="1" applyAlignment="1">
      <alignment vertical="center" wrapText="1"/>
    </xf>
    <xf numFmtId="0" fontId="31" fillId="5" borderId="0" xfId="4" applyFont="1" applyFill="1" applyAlignment="1">
      <alignment vertical="center"/>
    </xf>
    <xf numFmtId="0" fontId="32" fillId="0" borderId="0" xfId="4" applyFont="1" applyAlignment="1">
      <alignment vertical="center"/>
    </xf>
    <xf numFmtId="0" fontId="22" fillId="0" borderId="0" xfId="4" applyFont="1" applyAlignment="1">
      <alignment vertical="center"/>
    </xf>
    <xf numFmtId="0" fontId="31" fillId="0" borderId="0" xfId="4" applyFont="1" applyAlignment="1">
      <alignment horizontal="center" vertical="center" wrapText="1"/>
    </xf>
    <xf numFmtId="0" fontId="15" fillId="0" borderId="0" xfId="4" applyFont="1" applyAlignment="1">
      <alignment vertical="center" wrapText="1"/>
    </xf>
    <xf numFmtId="2" fontId="15" fillId="0" borderId="0" xfId="4" applyNumberFormat="1" applyFont="1" applyAlignment="1">
      <alignment vertical="center" wrapText="1"/>
    </xf>
    <xf numFmtId="0" fontId="13" fillId="0" borderId="0" xfId="4" applyFont="1" applyAlignment="1">
      <alignment vertical="center" wrapText="1"/>
    </xf>
    <xf numFmtId="2" fontId="13" fillId="0" borderId="0" xfId="4" applyNumberFormat="1" applyFont="1" applyAlignment="1">
      <alignment vertical="center" wrapText="1"/>
    </xf>
    <xf numFmtId="0" fontId="4" fillId="0" borderId="15" xfId="4" applyBorder="1"/>
    <xf numFmtId="2" fontId="15" fillId="0" borderId="15" xfId="4" applyNumberFormat="1" applyFont="1" applyBorder="1" applyAlignment="1">
      <alignment horizontal="right" wrapText="1"/>
    </xf>
    <xf numFmtId="2" fontId="15" fillId="0" borderId="15" xfId="4" applyNumberFormat="1" applyFont="1" applyBorder="1" applyAlignment="1">
      <alignment wrapText="1"/>
    </xf>
    <xf numFmtId="2" fontId="13" fillId="0" borderId="11" xfId="4" applyNumberFormat="1" applyFont="1" applyBorder="1" applyAlignment="1">
      <alignment wrapText="1"/>
    </xf>
    <xf numFmtId="165" fontId="5" fillId="0" borderId="0" xfId="13" applyFont="1" applyBorder="1" applyAlignment="1">
      <alignment horizontal="center" vertical="center"/>
    </xf>
    <xf numFmtId="0" fontId="8" fillId="0" borderId="0" xfId="0" applyFont="1"/>
    <xf numFmtId="10" fontId="2" fillId="2" borderId="17" xfId="0" applyNumberFormat="1" applyFont="1" applyFill="1" applyBorder="1" applyAlignment="1">
      <alignment horizontal="center" vertical="center"/>
    </xf>
    <xf numFmtId="165" fontId="2" fillId="2" borderId="15" xfId="12" applyFont="1" applyFill="1" applyBorder="1" applyAlignment="1">
      <alignment wrapText="1"/>
    </xf>
    <xf numFmtId="165" fontId="8" fillId="0" borderId="0" xfId="12" applyFont="1" applyBorder="1" applyAlignment="1">
      <alignment horizontal="center" vertical="center"/>
    </xf>
    <xf numFmtId="0" fontId="6" fillId="2" borderId="0" xfId="4" applyFont="1" applyFill="1" applyAlignment="1">
      <alignment horizontal="left" vertical="top" wrapText="1"/>
    </xf>
    <xf numFmtId="0" fontId="6" fillId="2" borderId="0" xfId="4" applyFont="1" applyFill="1" applyAlignment="1">
      <alignment horizontal="center" vertical="top" wrapText="1"/>
    </xf>
    <xf numFmtId="170" fontId="6" fillId="2" borderId="0" xfId="4" applyNumberFormat="1" applyFont="1" applyFill="1" applyAlignment="1">
      <alignment horizontal="right" vertical="top" wrapText="1"/>
    </xf>
    <xf numFmtId="171" fontId="6" fillId="2" borderId="0" xfId="4" applyNumberFormat="1" applyFont="1" applyFill="1" applyAlignment="1">
      <alignment horizontal="right" vertical="top" wrapText="1"/>
    </xf>
    <xf numFmtId="0" fontId="2" fillId="0" borderId="0" xfId="0" applyFont="1" applyAlignment="1">
      <alignment horizontal="center" vertical="center"/>
    </xf>
    <xf numFmtId="165" fontId="2" fillId="0" borderId="15" xfId="13" applyFont="1" applyBorder="1" applyAlignment="1">
      <alignment horizontal="center" vertical="center"/>
    </xf>
    <xf numFmtId="165" fontId="2" fillId="0" borderId="0" xfId="9" applyFont="1" applyFill="1" applyBorder="1" applyAlignment="1">
      <alignment vertical="center" wrapText="1"/>
    </xf>
    <xf numFmtId="165" fontId="35" fillId="0" borderId="15" xfId="12" applyFont="1" applyFill="1" applyBorder="1" applyAlignment="1">
      <alignment horizontal="center" vertical="center"/>
    </xf>
    <xf numFmtId="49" fontId="36" fillId="0" borderId="15" xfId="0" applyNumberFormat="1" applyFont="1" applyBorder="1" applyAlignment="1">
      <alignment horizontal="left" vertical="center" wrapText="1"/>
    </xf>
    <xf numFmtId="168" fontId="37" fillId="7" borderId="15" xfId="12" applyNumberFormat="1" applyFont="1" applyFill="1" applyBorder="1" applyAlignment="1">
      <alignment horizontal="right" vertical="center"/>
    </xf>
    <xf numFmtId="0" fontId="38" fillId="0" borderId="15" xfId="0" applyFont="1" applyBorder="1" applyAlignment="1">
      <alignment horizontal="center" vertical="center" wrapText="1"/>
    </xf>
    <xf numFmtId="0" fontId="38" fillId="0" borderId="15" xfId="0" applyFont="1" applyBorder="1" applyAlignment="1">
      <alignment horizontal="left" vertical="center" wrapText="1"/>
    </xf>
    <xf numFmtId="0" fontId="39" fillId="0" borderId="15" xfId="0" applyFont="1" applyBorder="1" applyAlignment="1">
      <alignment horizontal="center" vertical="center" wrapText="1"/>
    </xf>
    <xf numFmtId="165" fontId="37" fillId="0" borderId="15" xfId="12" applyFont="1" applyFill="1" applyBorder="1" applyAlignment="1">
      <alignment horizontal="center" vertical="center"/>
    </xf>
    <xf numFmtId="165" fontId="40" fillId="0" borderId="15" xfId="12" applyFont="1" applyBorder="1"/>
    <xf numFmtId="165" fontId="40" fillId="0" borderId="15" xfId="12" applyFont="1" applyBorder="1" applyAlignment="1">
      <alignment horizontal="center" vertical="center"/>
    </xf>
    <xf numFmtId="0" fontId="39" fillId="0" borderId="15" xfId="0" applyFont="1" applyBorder="1" applyAlignment="1">
      <alignment horizontal="left" vertical="center" wrapText="1"/>
    </xf>
    <xf numFmtId="165" fontId="36" fillId="0" borderId="15" xfId="12" applyFont="1" applyFill="1" applyBorder="1" applyAlignment="1">
      <alignment horizontal="center" vertical="center"/>
    </xf>
    <xf numFmtId="165" fontId="39" fillId="0" borderId="15" xfId="12" applyFont="1" applyFill="1" applyBorder="1" applyAlignment="1">
      <alignment horizontal="right" vertical="center" wrapText="1"/>
    </xf>
    <xf numFmtId="0" fontId="37" fillId="0" borderId="15" xfId="0" applyFont="1" applyBorder="1" applyAlignment="1">
      <alignment horizontal="center" vertical="center"/>
    </xf>
    <xf numFmtId="0" fontId="41" fillId="0" borderId="15" xfId="0" applyFont="1" applyBorder="1" applyAlignment="1">
      <alignment vertical="center"/>
    </xf>
    <xf numFmtId="0" fontId="40" fillId="0" borderId="15" xfId="0" applyFont="1" applyBorder="1" applyAlignment="1">
      <alignment horizontal="center" vertical="center"/>
    </xf>
    <xf numFmtId="0" fontId="36" fillId="0" borderId="15" xfId="0" applyFont="1" applyBorder="1" applyAlignment="1">
      <alignment horizontal="center" vertical="center"/>
    </xf>
    <xf numFmtId="165" fontId="40" fillId="0" borderId="15" xfId="12" applyFont="1" applyFill="1" applyBorder="1" applyAlignment="1">
      <alignment horizontal="center" vertical="center"/>
    </xf>
    <xf numFmtId="49" fontId="36" fillId="0" borderId="15" xfId="0" applyNumberFormat="1" applyFont="1" applyBorder="1" applyAlignment="1">
      <alignment horizontal="center" vertical="center" wrapText="1"/>
    </xf>
    <xf numFmtId="0" fontId="36" fillId="0" borderId="15" xfId="0" applyFont="1" applyBorder="1" applyAlignment="1">
      <alignment horizontal="center" vertical="center" wrapText="1"/>
    </xf>
    <xf numFmtId="165" fontId="36" fillId="0" borderId="25" xfId="12" applyFont="1" applyBorder="1" applyAlignment="1">
      <alignment horizontal="center" vertical="center" wrapText="1"/>
    </xf>
    <xf numFmtId="49" fontId="41" fillId="0" borderId="15" xfId="0" applyNumberFormat="1" applyFont="1" applyBorder="1" applyAlignment="1">
      <alignment horizontal="left" vertical="center" wrapText="1"/>
    </xf>
    <xf numFmtId="0" fontId="36" fillId="0" borderId="15" xfId="0" applyFont="1" applyBorder="1" applyAlignment="1">
      <alignment vertical="center"/>
    </xf>
    <xf numFmtId="0" fontId="36" fillId="0" borderId="15" xfId="0" applyFont="1" applyBorder="1" applyAlignment="1">
      <alignment vertical="center" wrapText="1"/>
    </xf>
    <xf numFmtId="165" fontId="40" fillId="0" borderId="15" xfId="13" applyFont="1" applyFill="1" applyBorder="1" applyAlignment="1">
      <alignment horizontal="center" vertical="center"/>
    </xf>
    <xf numFmtId="10" fontId="43" fillId="7" borderId="27" xfId="7" applyNumberFormat="1" applyFont="1" applyFill="1" applyBorder="1" applyAlignment="1">
      <alignment horizontal="center" vertical="center"/>
    </xf>
    <xf numFmtId="0" fontId="37" fillId="7" borderId="18" xfId="0" applyFont="1" applyFill="1" applyBorder="1" applyAlignment="1">
      <alignment horizontal="center" vertical="center"/>
    </xf>
    <xf numFmtId="0" fontId="37" fillId="7" borderId="16" xfId="0" applyFont="1" applyFill="1" applyBorder="1" applyAlignment="1">
      <alignment horizontal="left" vertical="center"/>
    </xf>
    <xf numFmtId="0" fontId="37" fillId="7" borderId="15" xfId="0" applyFont="1" applyFill="1" applyBorder="1" applyAlignment="1">
      <alignment horizontal="center" vertical="center"/>
    </xf>
    <xf numFmtId="0" fontId="37" fillId="7" borderId="5" xfId="0" applyFont="1" applyFill="1" applyBorder="1" applyAlignment="1">
      <alignment horizontal="center" vertical="center"/>
    </xf>
    <xf numFmtId="0" fontId="37" fillId="7" borderId="5" xfId="0" applyFont="1" applyFill="1" applyBorder="1" applyAlignment="1">
      <alignment horizontal="center" vertical="center" wrapText="1"/>
    </xf>
    <xf numFmtId="0" fontId="35" fillId="0" borderId="5" xfId="4" applyFont="1" applyBorder="1" applyAlignment="1">
      <alignment horizontal="center" vertical="center"/>
    </xf>
    <xf numFmtId="0" fontId="35" fillId="0" borderId="15" xfId="4" applyFont="1" applyBorder="1" applyAlignment="1">
      <alignment horizontal="center" vertical="center"/>
    </xf>
    <xf numFmtId="165" fontId="42" fillId="0" borderId="16" xfId="11" applyFont="1" applyFill="1" applyBorder="1" applyAlignment="1">
      <alignment vertical="center"/>
    </xf>
    <xf numFmtId="0" fontId="35" fillId="0" borderId="18" xfId="4" applyFont="1" applyBorder="1" applyAlignment="1">
      <alignment horizontal="center" vertical="center"/>
    </xf>
    <xf numFmtId="165" fontId="35" fillId="0" borderId="16" xfId="12" applyFont="1" applyBorder="1" applyAlignment="1">
      <alignment horizontal="center" vertical="center"/>
    </xf>
    <xf numFmtId="165" fontId="35" fillId="0" borderId="15" xfId="12" applyFont="1" applyBorder="1" applyAlignment="1">
      <alignment vertical="center"/>
    </xf>
    <xf numFmtId="0" fontId="35" fillId="0" borderId="15" xfId="4" applyFont="1" applyBorder="1" applyAlignment="1">
      <alignment horizontal="center" vertical="center" wrapText="1"/>
    </xf>
    <xf numFmtId="165" fontId="35" fillId="0" borderId="15" xfId="12" applyFont="1" applyBorder="1" applyAlignment="1">
      <alignment horizontal="center" vertical="center"/>
    </xf>
    <xf numFmtId="165" fontId="35" fillId="0" borderId="0" xfId="12" applyFont="1" applyBorder="1" applyAlignment="1">
      <alignment horizontal="center" vertical="center"/>
    </xf>
    <xf numFmtId="0" fontId="35" fillId="0" borderId="18" xfId="4" applyFont="1" applyBorder="1" applyAlignment="1">
      <alignment horizontal="center" vertical="center" wrapText="1"/>
    </xf>
    <xf numFmtId="2" fontId="35" fillId="0" borderId="0" xfId="4" applyNumberFormat="1" applyFont="1" applyAlignment="1">
      <alignment horizontal="center" vertical="center"/>
    </xf>
    <xf numFmtId="165" fontId="42" fillId="0" borderId="15" xfId="11" applyFont="1" applyFill="1" applyBorder="1" applyAlignment="1">
      <alignment vertical="center"/>
    </xf>
    <xf numFmtId="165" fontId="35" fillId="0" borderId="15" xfId="13" applyFont="1" applyBorder="1" applyAlignment="1">
      <alignment horizontal="center" vertical="center"/>
    </xf>
    <xf numFmtId="165" fontId="35" fillId="0" borderId="0" xfId="13" applyFont="1" applyBorder="1" applyAlignment="1">
      <alignment horizontal="center" vertical="center"/>
    </xf>
    <xf numFmtId="0" fontId="36" fillId="0" borderId="0" xfId="4" applyFont="1" applyAlignment="1">
      <alignment vertical="center"/>
    </xf>
    <xf numFmtId="165" fontId="36" fillId="0" borderId="0" xfId="9" applyFont="1" applyFill="1" applyBorder="1" applyAlignment="1">
      <alignment vertical="center" wrapText="1"/>
    </xf>
    <xf numFmtId="0" fontId="36" fillId="0" borderId="0" xfId="4" applyFont="1" applyAlignment="1">
      <alignment horizontal="center"/>
    </xf>
    <xf numFmtId="0" fontId="41" fillId="7" borderId="15" xfId="4" applyFont="1" applyFill="1" applyBorder="1" applyAlignment="1">
      <alignment horizontal="center" vertical="center"/>
    </xf>
    <xf numFmtId="0" fontId="41" fillId="7" borderId="17" xfId="4" applyFont="1" applyFill="1" applyBorder="1" applyAlignment="1">
      <alignment horizontal="center" vertical="center" wrapText="1"/>
    </xf>
    <xf numFmtId="10" fontId="36" fillId="0" borderId="16" xfId="4" applyNumberFormat="1" applyFont="1" applyBorder="1" applyAlignment="1">
      <alignment horizontal="center" vertical="center"/>
    </xf>
    <xf numFmtId="43" fontId="36" fillId="0" borderId="0" xfId="4" applyNumberFormat="1" applyFont="1" applyAlignment="1">
      <alignment vertical="center"/>
    </xf>
    <xf numFmtId="2" fontId="36" fillId="0" borderId="0" xfId="10" applyNumberFormat="1" applyFont="1" applyBorder="1" applyAlignment="1">
      <alignment horizontal="right"/>
    </xf>
    <xf numFmtId="0" fontId="35" fillId="0" borderId="0" xfId="4" applyFont="1" applyAlignment="1">
      <alignment vertical="center"/>
    </xf>
    <xf numFmtId="0" fontId="35" fillId="0" borderId="0" xfId="4" applyFont="1"/>
    <xf numFmtId="165" fontId="35" fillId="0" borderId="0" xfId="10" applyFont="1" applyBorder="1" applyAlignment="1">
      <alignment horizontal="center"/>
    </xf>
    <xf numFmtId="0" fontId="47" fillId="0" borderId="0" xfId="4" applyFont="1" applyAlignment="1">
      <alignment horizontal="left"/>
    </xf>
    <xf numFmtId="0" fontId="41" fillId="2" borderId="15" xfId="0" applyFont="1" applyFill="1" applyBorder="1" applyAlignment="1">
      <alignment horizontal="center" vertical="center"/>
    </xf>
    <xf numFmtId="0" fontId="41" fillId="2" borderId="15" xfId="0" applyFont="1" applyFill="1" applyBorder="1" applyAlignment="1">
      <alignment horizontal="center" vertical="center" wrapText="1"/>
    </xf>
    <xf numFmtId="49" fontId="42" fillId="2" borderId="32" xfId="0" applyNumberFormat="1" applyFont="1" applyFill="1" applyBorder="1" applyAlignment="1">
      <alignment horizontal="center" vertical="center" wrapText="1"/>
    </xf>
    <xf numFmtId="49" fontId="42" fillId="2" borderId="33" xfId="0" applyNumberFormat="1" applyFont="1" applyFill="1" applyBorder="1" applyAlignment="1">
      <alignment horizontal="center" vertical="center" wrapText="1"/>
    </xf>
    <xf numFmtId="49" fontId="42" fillId="2" borderId="34" xfId="0" applyNumberFormat="1" applyFont="1" applyFill="1" applyBorder="1" applyAlignment="1">
      <alignment horizontal="center" vertical="center" wrapText="1"/>
    </xf>
    <xf numFmtId="49" fontId="42" fillId="2" borderId="35" xfId="0" applyNumberFormat="1" applyFont="1" applyFill="1" applyBorder="1" applyAlignment="1">
      <alignment horizontal="center" vertical="center" wrapText="1"/>
    </xf>
    <xf numFmtId="49" fontId="44" fillId="2" borderId="32" xfId="0" applyNumberFormat="1" applyFont="1" applyFill="1" applyBorder="1" applyAlignment="1">
      <alignment horizontal="center" vertical="top" wrapText="1"/>
    </xf>
    <xf numFmtId="49" fontId="44" fillId="2" borderId="35" xfId="0" applyNumberFormat="1" applyFont="1" applyFill="1" applyBorder="1" applyAlignment="1">
      <alignment horizontal="center" vertical="top" wrapText="1"/>
    </xf>
    <xf numFmtId="0" fontId="36" fillId="2" borderId="36" xfId="0" applyFont="1" applyFill="1" applyBorder="1"/>
    <xf numFmtId="0" fontId="41" fillId="2" borderId="31" xfId="0" applyFont="1" applyFill="1" applyBorder="1"/>
    <xf numFmtId="0" fontId="41" fillId="2" borderId="0" xfId="0" applyFont="1" applyFill="1" applyAlignment="1">
      <alignment wrapText="1"/>
    </xf>
    <xf numFmtId="0" fontId="36" fillId="2" borderId="8" xfId="0" applyFont="1" applyFill="1" applyBorder="1"/>
    <xf numFmtId="0" fontId="36" fillId="2" borderId="0" xfId="0" applyFont="1" applyFill="1" applyAlignment="1">
      <alignment vertical="center"/>
    </xf>
    <xf numFmtId="0" fontId="36" fillId="2" borderId="0" xfId="0" applyFont="1" applyFill="1"/>
    <xf numFmtId="10" fontId="41" fillId="2" borderId="32" xfId="0" applyNumberFormat="1" applyFont="1" applyFill="1" applyBorder="1" applyAlignment="1">
      <alignment vertical="center" wrapText="1"/>
    </xf>
    <xf numFmtId="10" fontId="41" fillId="2" borderId="32" xfId="8" applyNumberFormat="1" applyFont="1" applyFill="1" applyBorder="1" applyAlignment="1">
      <alignment vertical="center" wrapText="1"/>
    </xf>
    <xf numFmtId="10" fontId="36" fillId="2" borderId="15" xfId="7" applyNumberFormat="1" applyFont="1" applyFill="1" applyBorder="1" applyAlignment="1">
      <alignment vertical="center"/>
    </xf>
    <xf numFmtId="166" fontId="36" fillId="2" borderId="33" xfId="0" applyNumberFormat="1" applyFont="1" applyFill="1" applyBorder="1" applyAlignment="1">
      <alignment vertical="center" wrapText="1"/>
    </xf>
    <xf numFmtId="165" fontId="36" fillId="2" borderId="15" xfId="12" applyFont="1" applyFill="1" applyBorder="1" applyAlignment="1">
      <alignment vertical="center"/>
    </xf>
    <xf numFmtId="10" fontId="36" fillId="2" borderId="32" xfId="8" applyNumberFormat="1" applyFont="1" applyFill="1" applyBorder="1" applyAlignment="1">
      <alignment vertical="center" wrapText="1"/>
    </xf>
    <xf numFmtId="10" fontId="36" fillId="2" borderId="32" xfId="0" applyNumberFormat="1" applyFont="1" applyFill="1" applyBorder="1" applyAlignment="1">
      <alignment vertical="center" wrapText="1"/>
    </xf>
    <xf numFmtId="10" fontId="36" fillId="2" borderId="34" xfId="0" applyNumberFormat="1" applyFont="1" applyFill="1" applyBorder="1" applyAlignment="1">
      <alignment vertical="center" wrapText="1"/>
    </xf>
    <xf numFmtId="10" fontId="36" fillId="2" borderId="34" xfId="8" applyNumberFormat="1" applyFont="1" applyFill="1" applyBorder="1" applyAlignment="1">
      <alignment vertical="center" wrapText="1"/>
    </xf>
    <xf numFmtId="10" fontId="36" fillId="2" borderId="15" xfId="0" applyNumberFormat="1" applyFont="1" applyFill="1" applyBorder="1" applyAlignment="1">
      <alignment horizontal="right" vertical="center"/>
    </xf>
    <xf numFmtId="165" fontId="41" fillId="2" borderId="17" xfId="12" applyFont="1" applyFill="1" applyBorder="1" applyAlignment="1">
      <alignment vertical="center" wrapText="1"/>
    </xf>
    <xf numFmtId="4" fontId="36" fillId="2" borderId="15" xfId="0" applyNumberFormat="1" applyFont="1" applyFill="1" applyBorder="1" applyAlignment="1">
      <alignment horizontal="right" vertical="center"/>
    </xf>
    <xf numFmtId="0" fontId="41" fillId="2" borderId="29" xfId="0" applyFont="1" applyFill="1" applyBorder="1" applyAlignment="1">
      <alignment wrapText="1"/>
    </xf>
    <xf numFmtId="0" fontId="41" fillId="2" borderId="26" xfId="0" applyFont="1" applyFill="1" applyBorder="1" applyAlignment="1">
      <alignment wrapText="1"/>
    </xf>
    <xf numFmtId="0" fontId="36" fillId="2" borderId="26" xfId="0" applyFont="1" applyFill="1" applyBorder="1"/>
    <xf numFmtId="0" fontId="36" fillId="2" borderId="28" xfId="0" applyFont="1" applyFill="1" applyBorder="1"/>
    <xf numFmtId="0" fontId="41" fillId="2" borderId="31" xfId="0" applyFont="1" applyFill="1" applyBorder="1" applyAlignment="1">
      <alignment wrapText="1"/>
    </xf>
    <xf numFmtId="0" fontId="36" fillId="0" borderId="0" xfId="0" applyFont="1" applyAlignment="1">
      <alignment vertical="center"/>
    </xf>
    <xf numFmtId="0" fontId="36" fillId="2" borderId="14" xfId="0" applyFont="1" applyFill="1" applyBorder="1"/>
    <xf numFmtId="0" fontId="36" fillId="2" borderId="27" xfId="0" applyFont="1" applyFill="1" applyBorder="1"/>
    <xf numFmtId="0" fontId="36" fillId="2" borderId="31" xfId="6" applyFont="1" applyFill="1" applyBorder="1" applyAlignment="1">
      <alignment horizontal="left"/>
    </xf>
    <xf numFmtId="0" fontId="41" fillId="2" borderId="0" xfId="6" applyFont="1" applyFill="1"/>
    <xf numFmtId="0" fontId="41" fillId="2" borderId="0" xfId="6" applyFont="1" applyFill="1" applyAlignment="1">
      <alignment horizontal="center"/>
    </xf>
    <xf numFmtId="4" fontId="41" fillId="2" borderId="0" xfId="6" applyNumberFormat="1" applyFont="1" applyFill="1"/>
    <xf numFmtId="11" fontId="41" fillId="2" borderId="0" xfId="6" applyNumberFormat="1" applyFont="1" applyFill="1" applyAlignment="1">
      <alignment horizontal="center"/>
    </xf>
    <xf numFmtId="0" fontId="36" fillId="2" borderId="8" xfId="6" applyFont="1" applyFill="1" applyBorder="1" applyAlignment="1">
      <alignment horizontal="left"/>
    </xf>
    <xf numFmtId="0" fontId="41" fillId="2" borderId="14" xfId="6" applyFont="1" applyFill="1" applyBorder="1"/>
    <xf numFmtId="11" fontId="41" fillId="2" borderId="14" xfId="6" applyNumberFormat="1" applyFont="1" applyFill="1" applyBorder="1" applyAlignment="1">
      <alignment horizontal="center"/>
    </xf>
    <xf numFmtId="0" fontId="35" fillId="0" borderId="31" xfId="4" applyFont="1" applyBorder="1"/>
    <xf numFmtId="165" fontId="35" fillId="0" borderId="36" xfId="10" applyFont="1" applyBorder="1"/>
    <xf numFmtId="0" fontId="35" fillId="0" borderId="8" xfId="4" applyFont="1" applyBorder="1"/>
    <xf numFmtId="0" fontId="35" fillId="0" borderId="14" xfId="4" applyFont="1" applyBorder="1" applyAlignment="1">
      <alignment horizontal="center"/>
    </xf>
    <xf numFmtId="0" fontId="45" fillId="0" borderId="14" xfId="4" applyFont="1" applyBorder="1" applyAlignment="1">
      <alignment horizontal="left"/>
    </xf>
    <xf numFmtId="0" fontId="45" fillId="0" borderId="14" xfId="4" applyFont="1" applyBorder="1" applyAlignment="1">
      <alignment horizontal="center"/>
    </xf>
    <xf numFmtId="165" fontId="35" fillId="0" borderId="14" xfId="10" applyFont="1" applyBorder="1" applyAlignment="1">
      <alignment horizontal="center"/>
    </xf>
    <xf numFmtId="165" fontId="35" fillId="0" borderId="27" xfId="10" applyFont="1" applyBorder="1"/>
    <xf numFmtId="0" fontId="41" fillId="0" borderId="14" xfId="0" applyFont="1" applyBorder="1" applyAlignment="1">
      <alignment vertical="center"/>
    </xf>
    <xf numFmtId="0" fontId="41" fillId="0" borderId="0" xfId="0" applyFont="1" applyAlignment="1">
      <alignment horizontal="left" vertical="center"/>
    </xf>
    <xf numFmtId="0" fontId="41" fillId="0" borderId="0" xfId="0" applyFont="1" applyAlignment="1">
      <alignment horizontal="center" vertical="center"/>
    </xf>
    <xf numFmtId="0" fontId="41" fillId="2" borderId="14" xfId="0" applyFont="1" applyFill="1" applyBorder="1" applyAlignment="1">
      <alignment wrapText="1"/>
    </xf>
    <xf numFmtId="0" fontId="41" fillId="2" borderId="14" xfId="0" applyFont="1" applyFill="1" applyBorder="1"/>
    <xf numFmtId="0" fontId="46" fillId="0" borderId="14" xfId="0" applyFont="1" applyBorder="1"/>
    <xf numFmtId="0" fontId="41" fillId="7" borderId="18" xfId="0" applyFont="1" applyFill="1" applyBorder="1" applyAlignment="1">
      <alignment vertical="center"/>
    </xf>
    <xf numFmtId="166" fontId="41" fillId="7" borderId="1" xfId="0" applyNumberFormat="1" applyFont="1" applyFill="1" applyBorder="1" applyAlignment="1">
      <alignment horizontal="left" vertical="center"/>
    </xf>
    <xf numFmtId="0" fontId="36" fillId="7" borderId="0" xfId="0" applyFont="1" applyFill="1" applyAlignment="1">
      <alignment vertical="center"/>
    </xf>
    <xf numFmtId="0" fontId="41" fillId="7" borderId="16" xfId="0" applyFont="1" applyFill="1" applyBorder="1" applyAlignment="1">
      <alignment vertical="center"/>
    </xf>
    <xf numFmtId="0" fontId="41" fillId="7" borderId="18" xfId="6" applyFont="1" applyFill="1" applyBorder="1" applyAlignment="1">
      <alignment horizontal="left" vertical="center"/>
    </xf>
    <xf numFmtId="0" fontId="6" fillId="0" borderId="0" xfId="4" applyFont="1"/>
    <xf numFmtId="0" fontId="48" fillId="0" borderId="0" xfId="4" applyFont="1"/>
    <xf numFmtId="168" fontId="48" fillId="0" borderId="16" xfId="4" applyNumberFormat="1" applyFont="1" applyBorder="1"/>
    <xf numFmtId="2" fontId="48" fillId="0" borderId="0" xfId="13" applyNumberFormat="1" applyFont="1" applyBorder="1" applyAlignment="1">
      <alignment horizontal="center"/>
    </xf>
    <xf numFmtId="2" fontId="48" fillId="0" borderId="0" xfId="4" applyNumberFormat="1" applyFont="1" applyAlignment="1">
      <alignment horizontal="center"/>
    </xf>
    <xf numFmtId="165" fontId="49" fillId="0" borderId="0" xfId="13" applyFont="1" applyAlignment="1">
      <alignment horizontal="center"/>
    </xf>
    <xf numFmtId="10" fontId="48" fillId="0" borderId="0" xfId="4" applyNumberFormat="1" applyFont="1"/>
    <xf numFmtId="43" fontId="40" fillId="0" borderId="16" xfId="4" applyNumberFormat="1" applyFont="1" applyBorder="1"/>
    <xf numFmtId="10" fontId="48" fillId="0" borderId="0" xfId="14" applyNumberFormat="1" applyFont="1" applyBorder="1"/>
    <xf numFmtId="0" fontId="40" fillId="0" borderId="0" xfId="4" applyFont="1"/>
    <xf numFmtId="9" fontId="40" fillId="0" borderId="15" xfId="4" applyNumberFormat="1" applyFont="1" applyBorder="1"/>
    <xf numFmtId="165" fontId="40" fillId="0" borderId="0" xfId="13" applyFont="1" applyBorder="1" applyAlignment="1">
      <alignment horizontal="center" vertical="center"/>
    </xf>
    <xf numFmtId="165" fontId="40" fillId="0" borderId="15" xfId="13" applyFont="1" applyBorder="1" applyAlignment="1">
      <alignment horizontal="center" vertical="center"/>
    </xf>
    <xf numFmtId="43" fontId="48" fillId="0" borderId="0" xfId="4" applyNumberFormat="1" applyFont="1"/>
    <xf numFmtId="43" fontId="40" fillId="0" borderId="0" xfId="4" applyNumberFormat="1" applyFont="1"/>
    <xf numFmtId="2" fontId="36" fillId="0" borderId="0" xfId="4" applyNumberFormat="1" applyFont="1" applyAlignment="1">
      <alignment horizontal="center"/>
    </xf>
    <xf numFmtId="165" fontId="40" fillId="0" borderId="0" xfId="13" applyFont="1" applyBorder="1" applyAlignment="1">
      <alignment horizontal="center"/>
    </xf>
    <xf numFmtId="165" fontId="40" fillId="0" borderId="16" xfId="13" applyFont="1" applyBorder="1" applyAlignment="1">
      <alignment horizontal="center"/>
    </xf>
    <xf numFmtId="2" fontId="42" fillId="0" borderId="0" xfId="4" applyNumberFormat="1" applyFont="1"/>
    <xf numFmtId="0" fontId="48" fillId="0" borderId="8" xfId="4" applyFont="1" applyBorder="1"/>
    <xf numFmtId="165" fontId="49" fillId="0" borderId="0" xfId="13" applyFont="1" applyAlignment="1">
      <alignment horizontal="left"/>
    </xf>
    <xf numFmtId="0" fontId="48" fillId="0" borderId="31" xfId="4" applyFont="1" applyBorder="1"/>
    <xf numFmtId="0" fontId="48" fillId="0" borderId="36" xfId="4" applyFont="1" applyBorder="1"/>
    <xf numFmtId="0" fontId="48" fillId="0" borderId="27" xfId="4" applyFont="1" applyBorder="1"/>
    <xf numFmtId="0" fontId="50" fillId="0" borderId="0" xfId="5" applyFont="1"/>
    <xf numFmtId="10" fontId="35" fillId="0" borderId="15" xfId="5" applyNumberFormat="1" applyFont="1" applyBorder="1" applyAlignment="1">
      <alignment horizontal="center" vertical="center"/>
    </xf>
    <xf numFmtId="169" fontId="35" fillId="0" borderId="15" xfId="13" applyNumberFormat="1" applyFont="1" applyBorder="1" applyAlignment="1">
      <alignment horizontal="center" vertical="center"/>
    </xf>
    <xf numFmtId="0" fontId="6" fillId="2" borderId="14" xfId="5" applyFont="1" applyFill="1" applyBorder="1" applyAlignment="1">
      <alignment vertical="center"/>
    </xf>
    <xf numFmtId="0" fontId="6" fillId="0" borderId="0" xfId="5" applyFont="1" applyAlignment="1">
      <alignment vertical="center"/>
    </xf>
    <xf numFmtId="0" fontId="4" fillId="0" borderId="0" xfId="6" applyAlignment="1">
      <alignment vertical="center"/>
    </xf>
    <xf numFmtId="0" fontId="4" fillId="0" borderId="0" xfId="5" applyAlignment="1">
      <alignment vertical="center"/>
    </xf>
    <xf numFmtId="0" fontId="4" fillId="0" borderId="0" xfId="5" applyAlignment="1">
      <alignment horizontal="center" vertical="center"/>
    </xf>
    <xf numFmtId="165" fontId="4" fillId="0" borderId="0" xfId="5" applyNumberFormat="1" applyAlignment="1">
      <alignment vertical="center"/>
    </xf>
    <xf numFmtId="2" fontId="4" fillId="0" borderId="0" xfId="5" applyNumberFormat="1" applyAlignment="1">
      <alignment vertical="center"/>
    </xf>
    <xf numFmtId="165" fontId="4" fillId="0" borderId="0" xfId="13" applyBorder="1" applyAlignment="1">
      <alignment vertical="center"/>
    </xf>
    <xf numFmtId="165" fontId="4" fillId="0" borderId="0" xfId="13" applyAlignment="1">
      <alignment horizontal="center" vertical="center"/>
    </xf>
    <xf numFmtId="165" fontId="4" fillId="0" borderId="0" xfId="13" applyFont="1" applyBorder="1" applyAlignment="1">
      <alignment horizontal="center" vertical="center"/>
    </xf>
    <xf numFmtId="0" fontId="51" fillId="6" borderId="0" xfId="4" applyFont="1" applyFill="1" applyAlignment="1" applyProtection="1">
      <alignment horizontal="left"/>
      <protection locked="0"/>
    </xf>
    <xf numFmtId="168" fontId="37" fillId="7" borderId="1" xfId="4" applyNumberFormat="1" applyFont="1" applyFill="1" applyBorder="1" applyAlignment="1">
      <alignment vertical="center"/>
    </xf>
    <xf numFmtId="168" fontId="37" fillId="7" borderId="16" xfId="4" applyNumberFormat="1" applyFont="1" applyFill="1" applyBorder="1" applyAlignment="1">
      <alignment vertical="center"/>
    </xf>
    <xf numFmtId="10" fontId="37" fillId="7" borderId="1" xfId="7" applyNumberFormat="1" applyFont="1" applyFill="1" applyBorder="1" applyAlignment="1">
      <alignment horizontal="left" vertical="center"/>
    </xf>
    <xf numFmtId="0" fontId="37" fillId="7" borderId="15" xfId="4" applyFont="1" applyFill="1" applyBorder="1" applyAlignment="1">
      <alignment horizontal="center" vertical="center"/>
    </xf>
    <xf numFmtId="0" fontId="37" fillId="7" borderId="15" xfId="4" applyFont="1" applyFill="1" applyBorder="1" applyAlignment="1">
      <alignment horizontal="center" vertical="center" wrapText="1"/>
    </xf>
    <xf numFmtId="165" fontId="37" fillId="7" borderId="15" xfId="13" applyFont="1" applyFill="1" applyBorder="1" applyAlignment="1">
      <alignment horizontal="center" vertical="center" wrapText="1"/>
    </xf>
    <xf numFmtId="49" fontId="52" fillId="7" borderId="16" xfId="4" applyNumberFormat="1" applyFont="1" applyFill="1" applyBorder="1" applyAlignment="1">
      <alignment vertical="center"/>
    </xf>
    <xf numFmtId="165" fontId="35" fillId="0" borderId="0" xfId="13" applyFont="1" applyFill="1" applyBorder="1" applyAlignment="1">
      <alignment horizontal="center" vertical="center"/>
    </xf>
    <xf numFmtId="168" fontId="37" fillId="7" borderId="18" xfId="4" applyNumberFormat="1" applyFont="1" applyFill="1" applyBorder="1" applyAlignment="1">
      <alignment vertical="center"/>
    </xf>
    <xf numFmtId="165" fontId="37" fillId="7" borderId="5" xfId="13" applyFont="1" applyFill="1" applyBorder="1" applyAlignment="1">
      <alignment horizontal="center" vertical="center" wrapText="1"/>
    </xf>
    <xf numFmtId="168" fontId="37" fillId="7" borderId="26" xfId="4" applyNumberFormat="1" applyFont="1" applyFill="1" applyBorder="1" applyAlignment="1">
      <alignment vertical="center"/>
    </xf>
    <xf numFmtId="168" fontId="37" fillId="7" borderId="18" xfId="4" applyNumberFormat="1" applyFont="1" applyFill="1" applyBorder="1" applyAlignment="1">
      <alignment horizontal="left" vertical="center"/>
    </xf>
    <xf numFmtId="0" fontId="37" fillId="7" borderId="18" xfId="4" applyFont="1" applyFill="1" applyBorder="1" applyAlignment="1">
      <alignment vertical="center"/>
    </xf>
    <xf numFmtId="0" fontId="37" fillId="7" borderId="1" xfId="4" applyFont="1" applyFill="1" applyBorder="1" applyAlignment="1">
      <alignment vertical="center"/>
    </xf>
    <xf numFmtId="0" fontId="37" fillId="7" borderId="16" xfId="4" applyFont="1" applyFill="1" applyBorder="1" applyAlignment="1">
      <alignment vertical="center"/>
    </xf>
    <xf numFmtId="168" fontId="41" fillId="7" borderId="15" xfId="6" applyNumberFormat="1" applyFont="1" applyFill="1" applyBorder="1" applyAlignment="1">
      <alignment vertical="center"/>
    </xf>
    <xf numFmtId="0" fontId="41" fillId="7" borderId="1" xfId="6" applyFont="1" applyFill="1" applyBorder="1" applyAlignment="1">
      <alignment vertical="center"/>
    </xf>
    <xf numFmtId="0" fontId="41" fillId="7" borderId="1" xfId="6" applyFont="1" applyFill="1" applyBorder="1" applyAlignment="1">
      <alignment horizontal="center" vertical="center"/>
    </xf>
    <xf numFmtId="0" fontId="40" fillId="0" borderId="31" xfId="4" applyFont="1" applyBorder="1" applyAlignment="1">
      <alignment vertical="center" wrapText="1"/>
    </xf>
    <xf numFmtId="4" fontId="36" fillId="0" borderId="36" xfId="5" applyNumberFormat="1" applyFont="1" applyBorder="1" applyAlignment="1">
      <alignment vertical="center" wrapText="1"/>
    </xf>
    <xf numFmtId="11" fontId="41" fillId="2" borderId="14" xfId="6" applyNumberFormat="1" applyFont="1" applyFill="1" applyBorder="1" applyAlignment="1" applyProtection="1">
      <alignment horizontal="center" vertical="center"/>
      <protection locked="0"/>
    </xf>
    <xf numFmtId="4" fontId="41" fillId="2" borderId="14" xfId="6" applyNumberFormat="1" applyFont="1" applyFill="1" applyBorder="1"/>
    <xf numFmtId="4" fontId="53" fillId="7" borderId="1" xfId="6" applyNumberFormat="1" applyFont="1" applyFill="1" applyBorder="1" applyAlignment="1">
      <alignment horizontal="right" vertical="center"/>
    </xf>
    <xf numFmtId="14" fontId="41" fillId="7" borderId="1" xfId="6" applyNumberFormat="1" applyFont="1" applyFill="1" applyBorder="1" applyAlignment="1">
      <alignment vertical="center"/>
    </xf>
    <xf numFmtId="4" fontId="41" fillId="7" borderId="1" xfId="6" applyNumberFormat="1" applyFont="1" applyFill="1" applyBorder="1" applyAlignment="1">
      <alignment horizontal="right" vertical="center"/>
    </xf>
    <xf numFmtId="0" fontId="41" fillId="7" borderId="1" xfId="6" applyFont="1" applyFill="1" applyBorder="1" applyAlignment="1">
      <alignment vertical="center" wrapText="1"/>
    </xf>
    <xf numFmtId="14" fontId="37" fillId="7" borderId="16" xfId="4" applyNumberFormat="1" applyFont="1" applyFill="1" applyBorder="1" applyAlignment="1">
      <alignment horizontal="left" vertical="center"/>
    </xf>
    <xf numFmtId="0" fontId="41" fillId="2" borderId="36" xfId="6" applyFont="1" applyFill="1" applyBorder="1"/>
    <xf numFmtId="0" fontId="41" fillId="2" borderId="27" xfId="6" applyFont="1" applyFill="1" applyBorder="1"/>
    <xf numFmtId="165" fontId="35" fillId="0" borderId="5" xfId="13" applyFont="1" applyFill="1" applyBorder="1" applyAlignment="1">
      <alignment horizontal="center" vertical="center"/>
    </xf>
    <xf numFmtId="0" fontId="37" fillId="7" borderId="0" xfId="4" applyFont="1" applyFill="1" applyAlignment="1">
      <alignment vertical="center"/>
    </xf>
    <xf numFmtId="0" fontId="6" fillId="0" borderId="14" xfId="4" applyFont="1" applyBorder="1"/>
    <xf numFmtId="49" fontId="6" fillId="0" borderId="0" xfId="4" applyNumberFormat="1" applyFont="1"/>
    <xf numFmtId="168" fontId="52" fillId="7" borderId="16" xfId="4" applyNumberFormat="1" applyFont="1" applyFill="1" applyBorder="1" applyAlignment="1">
      <alignment vertical="center"/>
    </xf>
    <xf numFmtId="0" fontId="48" fillId="0" borderId="0" xfId="5" applyFont="1" applyAlignment="1">
      <alignment vertical="center"/>
    </xf>
    <xf numFmtId="0" fontId="50" fillId="0" borderId="0" xfId="6" applyFont="1" applyAlignment="1">
      <alignment vertical="center"/>
    </xf>
    <xf numFmtId="0" fontId="36" fillId="0" borderId="0" xfId="6" applyFont="1" applyAlignment="1">
      <alignment vertical="center"/>
    </xf>
    <xf numFmtId="0" fontId="50" fillId="0" borderId="0" xfId="5" applyFont="1" applyAlignment="1">
      <alignment vertical="center"/>
    </xf>
    <xf numFmtId="0" fontId="50" fillId="0" borderId="0" xfId="5" applyFont="1" applyAlignment="1">
      <alignment horizontal="center" vertical="center"/>
    </xf>
    <xf numFmtId="165" fontId="50" fillId="0" borderId="0" xfId="5" applyNumberFormat="1" applyFont="1" applyAlignment="1">
      <alignment vertical="center"/>
    </xf>
    <xf numFmtId="2" fontId="50" fillId="0" borderId="0" xfId="5" applyNumberFormat="1" applyFont="1" applyAlignment="1">
      <alignment vertical="center"/>
    </xf>
    <xf numFmtId="165" fontId="36" fillId="0" borderId="0" xfId="13" applyFont="1" applyBorder="1" applyAlignment="1">
      <alignment vertical="center"/>
    </xf>
    <xf numFmtId="165" fontId="50" fillId="0" borderId="0" xfId="13" applyFont="1" applyAlignment="1">
      <alignment horizontal="center" vertical="center"/>
    </xf>
    <xf numFmtId="0" fontId="39" fillId="0" borderId="15" xfId="4" applyFont="1" applyBorder="1" applyAlignment="1">
      <alignment horizontal="center" vertical="center" wrapText="1"/>
    </xf>
    <xf numFmtId="4" fontId="36" fillId="0" borderId="15" xfId="5" applyNumberFormat="1" applyFont="1" applyBorder="1" applyAlignment="1">
      <alignment horizontal="right" vertical="center"/>
    </xf>
    <xf numFmtId="0" fontId="36" fillId="0" borderId="0" xfId="5" applyFont="1" applyAlignment="1">
      <alignment vertical="center"/>
    </xf>
    <xf numFmtId="0" fontId="39" fillId="0" borderId="15" xfId="4" applyFont="1" applyBorder="1" applyAlignment="1">
      <alignment horizontal="left" vertical="center" wrapText="1"/>
    </xf>
    <xf numFmtId="165" fontId="36" fillId="0" borderId="15" xfId="13" applyFont="1" applyFill="1" applyBorder="1" applyAlignment="1">
      <alignment horizontal="center" vertical="center"/>
    </xf>
    <xf numFmtId="165" fontId="36" fillId="0" borderId="15" xfId="13" applyFont="1" applyBorder="1" applyAlignment="1">
      <alignment horizontal="right" vertical="center"/>
    </xf>
    <xf numFmtId="0" fontId="40" fillId="0" borderId="15" xfId="4" applyFont="1" applyBorder="1" applyAlignment="1">
      <alignment horizontal="center" vertical="center"/>
    </xf>
    <xf numFmtId="0" fontId="36" fillId="0" borderId="15" xfId="4" applyFont="1" applyBorder="1" applyAlignment="1">
      <alignment horizontal="center" vertical="center"/>
    </xf>
    <xf numFmtId="0" fontId="36" fillId="0" borderId="15" xfId="4" applyFont="1" applyBorder="1" applyAlignment="1">
      <alignment horizontal="center" vertical="center" wrapText="1"/>
    </xf>
    <xf numFmtId="43" fontId="36" fillId="0" borderId="0" xfId="5" applyNumberFormat="1" applyFont="1" applyAlignment="1">
      <alignment vertical="center"/>
    </xf>
    <xf numFmtId="0" fontId="36" fillId="2" borderId="31" xfId="5" applyFont="1" applyFill="1" applyBorder="1" applyAlignment="1">
      <alignment vertical="center"/>
    </xf>
    <xf numFmtId="0" fontId="36" fillId="2" borderId="0" xfId="5" applyFont="1" applyFill="1" applyAlignment="1">
      <alignment vertical="center"/>
    </xf>
    <xf numFmtId="0" fontId="36" fillId="2" borderId="0" xfId="5" applyFont="1" applyFill="1" applyAlignment="1">
      <alignment horizontal="center" vertical="center"/>
    </xf>
    <xf numFmtId="165" fontId="36" fillId="2" borderId="0" xfId="5" applyNumberFormat="1" applyFont="1" applyFill="1" applyAlignment="1">
      <alignment vertical="center"/>
    </xf>
    <xf numFmtId="2" fontId="36" fillId="2" borderId="0" xfId="5" applyNumberFormat="1" applyFont="1" applyFill="1" applyAlignment="1">
      <alignment vertical="center"/>
    </xf>
    <xf numFmtId="0" fontId="36" fillId="2" borderId="31" xfId="6" applyFont="1" applyFill="1" applyBorder="1" applyAlignment="1">
      <alignment horizontal="left" vertical="center"/>
    </xf>
    <xf numFmtId="0" fontId="36" fillId="2" borderId="0" xfId="6" applyFont="1" applyFill="1" applyAlignment="1">
      <alignment vertical="center"/>
    </xf>
    <xf numFmtId="11" fontId="41" fillId="2" borderId="0" xfId="6" applyNumberFormat="1" applyFont="1" applyFill="1" applyAlignment="1">
      <alignment horizontal="center" vertical="center"/>
    </xf>
    <xf numFmtId="0" fontId="36" fillId="2" borderId="36" xfId="6" applyFont="1" applyFill="1" applyBorder="1" applyAlignment="1">
      <alignment vertical="center"/>
    </xf>
    <xf numFmtId="0" fontId="36" fillId="2" borderId="8" xfId="6" applyFont="1" applyFill="1" applyBorder="1" applyAlignment="1">
      <alignment horizontal="left" vertical="center"/>
    </xf>
    <xf numFmtId="0" fontId="41" fillId="2" borderId="14" xfId="6" applyFont="1" applyFill="1" applyBorder="1" applyAlignment="1">
      <alignment vertical="center"/>
    </xf>
    <xf numFmtId="11" fontId="41" fillId="2" borderId="14" xfId="6" applyNumberFormat="1" applyFont="1" applyFill="1" applyBorder="1" applyAlignment="1">
      <alignment horizontal="center" vertical="center"/>
    </xf>
    <xf numFmtId="0" fontId="36" fillId="2" borderId="27" xfId="6" applyFont="1" applyFill="1" applyBorder="1" applyAlignment="1">
      <alignment vertical="center"/>
    </xf>
    <xf numFmtId="0" fontId="36" fillId="0" borderId="0" xfId="5" applyFont="1" applyAlignment="1">
      <alignment horizontal="center" vertical="center"/>
    </xf>
    <xf numFmtId="165" fontId="36" fillId="0" borderId="0" xfId="5" applyNumberFormat="1" applyFont="1" applyAlignment="1">
      <alignment vertical="center"/>
    </xf>
    <xf numFmtId="2" fontId="36" fillId="0" borderId="0" xfId="5" applyNumberFormat="1" applyFont="1" applyAlignment="1">
      <alignment vertical="center"/>
    </xf>
    <xf numFmtId="0" fontId="36" fillId="0" borderId="0" xfId="5" applyFont="1" applyAlignment="1">
      <alignment horizontal="right" vertical="center"/>
    </xf>
    <xf numFmtId="165" fontId="40" fillId="0" borderId="15" xfId="13" applyFont="1" applyBorder="1"/>
    <xf numFmtId="10" fontId="40" fillId="0" borderId="15" xfId="7" applyNumberFormat="1" applyFont="1" applyBorder="1" applyAlignment="1">
      <alignment horizontal="center" vertical="center"/>
    </xf>
    <xf numFmtId="49" fontId="36" fillId="0" borderId="15" xfId="4" applyNumberFormat="1" applyFont="1" applyBorder="1" applyAlignment="1">
      <alignment horizontal="center" vertical="center" wrapText="1"/>
    </xf>
    <xf numFmtId="168" fontId="37" fillId="7" borderId="15" xfId="13" applyNumberFormat="1" applyFont="1" applyFill="1" applyBorder="1" applyAlignment="1">
      <alignment horizontal="right" vertical="center"/>
    </xf>
    <xf numFmtId="10" fontId="37" fillId="7" borderId="15" xfId="7" applyNumberFormat="1" applyFont="1" applyFill="1" applyBorder="1" applyAlignment="1">
      <alignment horizontal="right" vertical="center"/>
    </xf>
    <xf numFmtId="0" fontId="40" fillId="0" borderId="31" xfId="4" applyFont="1" applyBorder="1"/>
    <xf numFmtId="0" fontId="36" fillId="0" borderId="0" xfId="6" applyFont="1"/>
    <xf numFmtId="0" fontId="5" fillId="0" borderId="0" xfId="4" applyFont="1"/>
    <xf numFmtId="11" fontId="46" fillId="2" borderId="14" xfId="6" applyNumberFormat="1" applyFont="1" applyFill="1" applyBorder="1" applyAlignment="1" applyProtection="1">
      <alignment horizontal="center" vertical="center"/>
      <protection locked="0"/>
    </xf>
    <xf numFmtId="10" fontId="41" fillId="7" borderId="15" xfId="6" applyNumberFormat="1" applyFont="1" applyFill="1" applyBorder="1" applyAlignment="1">
      <alignment vertical="center"/>
    </xf>
    <xf numFmtId="0" fontId="37" fillId="7" borderId="15" xfId="0" applyFont="1" applyFill="1" applyBorder="1" applyAlignment="1">
      <alignment vertical="center"/>
    </xf>
    <xf numFmtId="165" fontId="36" fillId="0" borderId="0" xfId="13" applyFont="1" applyBorder="1" applyAlignment="1">
      <alignment horizontal="center" vertical="center"/>
    </xf>
    <xf numFmtId="43" fontId="36" fillId="0" borderId="0" xfId="5" applyNumberFormat="1" applyFont="1" applyAlignment="1">
      <alignment horizontal="center" vertical="center"/>
    </xf>
    <xf numFmtId="165" fontId="40" fillId="0" borderId="0" xfId="13" applyFont="1" applyFill="1" applyBorder="1" applyAlignment="1">
      <alignment horizontal="center" vertical="center"/>
    </xf>
    <xf numFmtId="14" fontId="41" fillId="7" borderId="15" xfId="6" applyNumberFormat="1" applyFont="1" applyFill="1" applyBorder="1" applyAlignment="1">
      <alignment horizontal="center" vertical="center"/>
    </xf>
    <xf numFmtId="0" fontId="46" fillId="2" borderId="0" xfId="6" applyFont="1" applyFill="1" applyAlignment="1">
      <alignment horizontal="center" vertical="center"/>
    </xf>
    <xf numFmtId="11" fontId="46" fillId="2" borderId="0" xfId="6" applyNumberFormat="1" applyFont="1" applyFill="1" applyAlignment="1">
      <alignment horizontal="center" vertical="center"/>
    </xf>
    <xf numFmtId="168" fontId="41" fillId="7" borderId="15" xfId="5" applyNumberFormat="1" applyFont="1" applyFill="1" applyBorder="1" applyAlignment="1">
      <alignment vertical="center" wrapText="1"/>
    </xf>
    <xf numFmtId="168" fontId="41" fillId="7" borderId="15" xfId="13" applyNumberFormat="1" applyFont="1" applyFill="1" applyBorder="1" applyAlignment="1">
      <alignment vertical="center" wrapText="1"/>
    </xf>
    <xf numFmtId="168" fontId="41" fillId="7" borderId="15" xfId="13" applyNumberFormat="1" applyFont="1" applyFill="1" applyBorder="1" applyAlignment="1">
      <alignment horizontal="center" vertical="center"/>
    </xf>
    <xf numFmtId="0" fontId="36" fillId="7" borderId="1" xfId="0" applyFont="1" applyFill="1" applyBorder="1"/>
    <xf numFmtId="0" fontId="46" fillId="7" borderId="1" xfId="0" applyFont="1" applyFill="1" applyBorder="1" applyAlignment="1">
      <alignment horizontal="left" vertical="center"/>
    </xf>
    <xf numFmtId="0" fontId="41" fillId="7" borderId="29" xfId="0" applyFont="1" applyFill="1" applyBorder="1" applyAlignment="1">
      <alignment vertical="center"/>
    </xf>
    <xf numFmtId="0" fontId="41" fillId="7" borderId="26" xfId="0" applyFont="1" applyFill="1" applyBorder="1" applyAlignment="1">
      <alignment vertical="center"/>
    </xf>
    <xf numFmtId="0" fontId="41" fillId="7" borderId="28" xfId="0" applyFont="1" applyFill="1" applyBorder="1" applyAlignment="1">
      <alignment vertical="center"/>
    </xf>
    <xf numFmtId="10" fontId="37" fillId="7" borderId="15" xfId="7" applyNumberFormat="1" applyFont="1" applyFill="1" applyBorder="1" applyAlignment="1">
      <alignment horizontal="center" vertical="center"/>
    </xf>
    <xf numFmtId="0" fontId="42" fillId="0" borderId="15" xfId="4" applyFont="1" applyBorder="1" applyAlignment="1">
      <alignment horizontal="center" vertical="center"/>
    </xf>
    <xf numFmtId="10" fontId="35" fillId="0" borderId="0" xfId="5" applyNumberFormat="1" applyFont="1" applyAlignment="1">
      <alignment horizontal="center" vertical="center"/>
    </xf>
    <xf numFmtId="169" fontId="35" fillId="0" borderId="0" xfId="13" applyNumberFormat="1" applyFont="1" applyBorder="1" applyAlignment="1">
      <alignment horizontal="center" vertical="center"/>
    </xf>
    <xf numFmtId="168" fontId="41" fillId="7" borderId="17" xfId="6" applyNumberFormat="1" applyFont="1" applyFill="1" applyBorder="1" applyAlignment="1">
      <alignment vertical="center"/>
    </xf>
    <xf numFmtId="10" fontId="35" fillId="0" borderId="5" xfId="5" applyNumberFormat="1" applyFont="1" applyBorder="1" applyAlignment="1">
      <alignment horizontal="center" vertical="center"/>
    </xf>
    <xf numFmtId="0" fontId="48" fillId="0" borderId="29" xfId="4" applyFont="1" applyBorder="1"/>
    <xf numFmtId="0" fontId="48" fillId="0" borderId="26" xfId="4" applyFont="1" applyBorder="1"/>
    <xf numFmtId="0" fontId="48" fillId="0" borderId="28" xfId="4" applyFont="1" applyBorder="1"/>
    <xf numFmtId="0" fontId="41" fillId="7" borderId="29" xfId="6" applyFont="1" applyFill="1" applyBorder="1" applyAlignment="1">
      <alignment horizontal="left" vertical="center"/>
    </xf>
    <xf numFmtId="0" fontId="41" fillId="7" borderId="26" xfId="6" applyFont="1" applyFill="1" applyBorder="1" applyAlignment="1">
      <alignment vertical="center"/>
    </xf>
    <xf numFmtId="4" fontId="53" fillId="7" borderId="26" xfId="6" applyNumberFormat="1" applyFont="1" applyFill="1" applyBorder="1" applyAlignment="1">
      <alignment horizontal="right" vertical="center"/>
    </xf>
    <xf numFmtId="0" fontId="41" fillId="7" borderId="26" xfId="6" applyFont="1" applyFill="1" applyBorder="1" applyAlignment="1">
      <alignment horizontal="center" vertical="center"/>
    </xf>
    <xf numFmtId="0" fontId="41" fillId="7" borderId="28" xfId="6" applyFont="1" applyFill="1" applyBorder="1" applyAlignment="1">
      <alignment vertical="center"/>
    </xf>
    <xf numFmtId="14" fontId="37" fillId="7" borderId="28" xfId="4" applyNumberFormat="1" applyFont="1" applyFill="1" applyBorder="1" applyAlignment="1">
      <alignment horizontal="left" vertical="center"/>
    </xf>
    <xf numFmtId="0" fontId="40" fillId="0" borderId="0" xfId="4" applyFont="1" applyAlignment="1">
      <alignment vertical="center" wrapText="1"/>
    </xf>
    <xf numFmtId="4" fontId="36" fillId="0" borderId="0" xfId="5" applyNumberFormat="1" applyFont="1" applyAlignment="1">
      <alignment vertical="center" wrapText="1"/>
    </xf>
    <xf numFmtId="49" fontId="37" fillId="7" borderId="18" xfId="4" applyNumberFormat="1" applyFont="1" applyFill="1" applyBorder="1" applyAlignment="1">
      <alignment vertical="center"/>
    </xf>
    <xf numFmtId="49" fontId="37" fillId="7" borderId="29" xfId="4" applyNumberFormat="1" applyFont="1" applyFill="1" applyBorder="1" applyAlignment="1">
      <alignment vertical="center"/>
    </xf>
    <xf numFmtId="0" fontId="35" fillId="0" borderId="29" xfId="5" applyFont="1" applyBorder="1" applyAlignment="1">
      <alignment vertical="center"/>
    </xf>
    <xf numFmtId="165" fontId="35" fillId="0" borderId="28" xfId="13" applyFont="1" applyBorder="1" applyAlignment="1">
      <alignment vertical="center"/>
    </xf>
    <xf numFmtId="165" fontId="35" fillId="0" borderId="27" xfId="13" applyFont="1" applyBorder="1" applyAlignment="1">
      <alignment vertical="center"/>
    </xf>
    <xf numFmtId="0" fontId="35" fillId="0" borderId="31" xfId="5" applyFont="1" applyBorder="1" applyAlignment="1">
      <alignment vertical="center"/>
    </xf>
    <xf numFmtId="0" fontId="35" fillId="0" borderId="36" xfId="5" applyFont="1" applyBorder="1" applyAlignment="1">
      <alignment vertical="center"/>
    </xf>
    <xf numFmtId="0" fontId="35" fillId="0" borderId="27" xfId="6" applyFont="1" applyBorder="1" applyAlignment="1">
      <alignment vertical="center"/>
    </xf>
    <xf numFmtId="175" fontId="35" fillId="0" borderId="15" xfId="5" applyNumberFormat="1" applyFont="1" applyBorder="1" applyAlignment="1">
      <alignment horizontal="center" vertical="center"/>
    </xf>
    <xf numFmtId="0" fontId="35" fillId="0" borderId="15" xfId="5" applyFont="1" applyBorder="1" applyAlignment="1">
      <alignment horizontal="center" vertical="center"/>
    </xf>
    <xf numFmtId="10" fontId="35" fillId="0" borderId="15" xfId="7" applyNumberFormat="1" applyFont="1" applyBorder="1" applyAlignment="1">
      <alignment horizontal="center" vertical="center"/>
    </xf>
    <xf numFmtId="43" fontId="35" fillId="0" borderId="15" xfId="6" applyNumberFormat="1" applyFont="1" applyBorder="1" applyAlignment="1">
      <alignment vertical="center"/>
    </xf>
    <xf numFmtId="4" fontId="35" fillId="0" borderId="15" xfId="5" applyNumberFormat="1" applyFont="1" applyBorder="1" applyAlignment="1">
      <alignment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" fontId="7" fillId="0" borderId="36" xfId="0" applyNumberFormat="1" applyFont="1" applyBorder="1" applyAlignment="1">
      <alignment horizontal="center" vertical="center" wrapText="1"/>
    </xf>
    <xf numFmtId="0" fontId="6" fillId="0" borderId="31" xfId="0" applyFont="1" applyBorder="1" applyAlignment="1">
      <alignment vertical="center"/>
    </xf>
    <xf numFmtId="0" fontId="37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168" fontId="6" fillId="0" borderId="36" xfId="0" applyNumberFormat="1" applyFont="1" applyBorder="1" applyAlignment="1">
      <alignment vertical="center"/>
    </xf>
    <xf numFmtId="0" fontId="8" fillId="0" borderId="31" xfId="0" applyFont="1" applyBorder="1" applyAlignment="1">
      <alignment vertical="center"/>
    </xf>
    <xf numFmtId="165" fontId="6" fillId="0" borderId="36" xfId="12" applyFont="1" applyBorder="1" applyAlignment="1">
      <alignment vertical="center"/>
    </xf>
    <xf numFmtId="0" fontId="6" fillId="0" borderId="36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37" fillId="0" borderId="14" xfId="0" applyFont="1" applyBorder="1" applyAlignment="1">
      <alignment vertical="center"/>
    </xf>
    <xf numFmtId="0" fontId="8" fillId="0" borderId="14" xfId="0" applyFont="1" applyBorder="1" applyAlignment="1">
      <alignment horizontal="center" vertical="center"/>
    </xf>
    <xf numFmtId="165" fontId="6" fillId="0" borderId="27" xfId="12" applyFont="1" applyBorder="1" applyAlignment="1">
      <alignment vertical="center"/>
    </xf>
    <xf numFmtId="11" fontId="46" fillId="2" borderId="14" xfId="6" applyNumberFormat="1" applyFont="1" applyFill="1" applyBorder="1" applyAlignment="1" applyProtection="1">
      <alignment vertical="center"/>
      <protection locked="0"/>
    </xf>
    <xf numFmtId="0" fontId="41" fillId="7" borderId="5" xfId="5" applyFont="1" applyFill="1" applyBorder="1" applyAlignment="1">
      <alignment horizontal="center" vertical="center"/>
    </xf>
    <xf numFmtId="165" fontId="41" fillId="7" borderId="5" xfId="5" applyNumberFormat="1" applyFont="1" applyFill="1" applyBorder="1" applyAlignment="1">
      <alignment horizontal="center" vertical="center"/>
    </xf>
    <xf numFmtId="165" fontId="41" fillId="7" borderId="5" xfId="5" applyNumberFormat="1" applyFont="1" applyFill="1" applyBorder="1" applyAlignment="1">
      <alignment horizontal="center" vertical="center" wrapText="1"/>
    </xf>
    <xf numFmtId="2" fontId="41" fillId="7" borderId="5" xfId="5" applyNumberFormat="1" applyFont="1" applyFill="1" applyBorder="1" applyAlignment="1">
      <alignment horizontal="center" vertical="center" wrapText="1"/>
    </xf>
    <xf numFmtId="0" fontId="41" fillId="7" borderId="5" xfId="5" applyFont="1" applyFill="1" applyBorder="1" applyAlignment="1">
      <alignment horizontal="center" vertical="center" wrapText="1"/>
    </xf>
    <xf numFmtId="0" fontId="41" fillId="7" borderId="5" xfId="6" applyFont="1" applyFill="1" applyBorder="1" applyAlignment="1">
      <alignment horizontal="center" vertical="center" wrapText="1"/>
    </xf>
    <xf numFmtId="0" fontId="35" fillId="0" borderId="31" xfId="4" applyFont="1" applyBorder="1" applyAlignment="1">
      <alignment horizontal="center" vertical="center"/>
    </xf>
    <xf numFmtId="165" fontId="42" fillId="0" borderId="36" xfId="11" applyFont="1" applyFill="1" applyBorder="1" applyAlignment="1">
      <alignment vertical="center"/>
    </xf>
    <xf numFmtId="0" fontId="37" fillId="0" borderId="0" xfId="0" applyFont="1" applyAlignment="1">
      <alignment horizontal="center" vertical="center"/>
    </xf>
    <xf numFmtId="10" fontId="8" fillId="0" borderId="0" xfId="7" applyNumberFormat="1" applyFont="1" applyBorder="1"/>
    <xf numFmtId="10" fontId="8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left" vertical="center"/>
    </xf>
    <xf numFmtId="165" fontId="8" fillId="0" borderId="0" xfId="13" applyFont="1" applyBorder="1" applyAlignment="1">
      <alignment horizontal="center" vertical="center"/>
    </xf>
    <xf numFmtId="165" fontId="2" fillId="0" borderId="0" xfId="13" applyFont="1" applyBorder="1" applyAlignment="1">
      <alignment horizontal="center" vertical="center"/>
    </xf>
    <xf numFmtId="165" fontId="8" fillId="0" borderId="0" xfId="13" applyFont="1" applyBorder="1" applyAlignment="1">
      <alignment horizontal="center" vertical="center" wrapText="1"/>
    </xf>
    <xf numFmtId="17" fontId="6" fillId="2" borderId="0" xfId="4" applyNumberFormat="1" applyFont="1" applyFill="1" applyAlignment="1">
      <alignment horizontal="center" vertical="top" wrapText="1"/>
    </xf>
    <xf numFmtId="165" fontId="36" fillId="0" borderId="0" xfId="12" applyFont="1" applyBorder="1" applyAlignment="1">
      <alignment horizontal="center" vertical="center"/>
    </xf>
    <xf numFmtId="2" fontId="35" fillId="0" borderId="0" xfId="4" applyNumberFormat="1" applyFont="1" applyAlignment="1">
      <alignment horizontal="center"/>
    </xf>
    <xf numFmtId="165" fontId="42" fillId="0" borderId="15" xfId="13" applyFont="1" applyFill="1" applyBorder="1" applyAlignment="1">
      <alignment vertical="center"/>
    </xf>
    <xf numFmtId="165" fontId="35" fillId="0" borderId="15" xfId="4" applyNumberFormat="1" applyFont="1" applyBorder="1" applyAlignment="1">
      <alignment horizontal="center" vertical="center" wrapText="1"/>
    </xf>
    <xf numFmtId="165" fontId="35" fillId="0" borderId="18" xfId="4" applyNumberFormat="1" applyFont="1" applyBorder="1" applyAlignment="1">
      <alignment horizontal="center" vertical="center"/>
    </xf>
    <xf numFmtId="0" fontId="36" fillId="0" borderId="15" xfId="4" applyFont="1" applyBorder="1" applyAlignment="1">
      <alignment vertical="center"/>
    </xf>
    <xf numFmtId="165" fontId="35" fillId="0" borderId="18" xfId="4" applyNumberFormat="1" applyFont="1" applyBorder="1" applyAlignment="1">
      <alignment horizontal="center" vertical="center" wrapText="1"/>
    </xf>
    <xf numFmtId="165" fontId="35" fillId="0" borderId="16" xfId="13" applyFont="1" applyBorder="1" applyAlignment="1">
      <alignment horizontal="center" vertical="center"/>
    </xf>
    <xf numFmtId="165" fontId="42" fillId="0" borderId="16" xfId="13" applyFont="1" applyFill="1" applyBorder="1" applyAlignment="1">
      <alignment vertical="center"/>
    </xf>
    <xf numFmtId="2" fontId="35" fillId="0" borderId="15" xfId="4" applyNumberFormat="1" applyFont="1" applyBorder="1" applyAlignment="1">
      <alignment vertical="center"/>
    </xf>
    <xf numFmtId="165" fontId="35" fillId="0" borderId="26" xfId="9" applyFont="1" applyFill="1" applyBorder="1" applyAlignment="1">
      <alignment horizontal="center" vertical="center" wrapText="1"/>
    </xf>
    <xf numFmtId="0" fontId="0" fillId="2" borderId="14" xfId="0" applyFill="1" applyBorder="1" applyAlignment="1">
      <alignment wrapText="1"/>
    </xf>
    <xf numFmtId="0" fontId="0" fillId="2" borderId="14" xfId="0" applyFill="1" applyBorder="1"/>
    <xf numFmtId="0" fontId="41" fillId="2" borderId="14" xfId="0" applyFont="1" applyFill="1" applyBorder="1" applyAlignment="1">
      <alignment horizontal="right"/>
    </xf>
    <xf numFmtId="165" fontId="35" fillId="0" borderId="15" xfId="4" applyNumberFormat="1" applyFont="1" applyBorder="1" applyAlignment="1">
      <alignment vertical="center"/>
    </xf>
    <xf numFmtId="0" fontId="35" fillId="0" borderId="0" xfId="4" applyFont="1" applyAlignment="1">
      <alignment horizontal="left" vertical="center" wrapText="1"/>
    </xf>
    <xf numFmtId="165" fontId="35" fillId="0" borderId="0" xfId="9" applyFont="1" applyFill="1" applyBorder="1" applyAlignment="1">
      <alignment horizontal="center" vertical="center" wrapText="1"/>
    </xf>
    <xf numFmtId="165" fontId="35" fillId="0" borderId="0" xfId="4" applyNumberFormat="1" applyFont="1" applyAlignment="1">
      <alignment horizontal="center" vertical="center" wrapText="1"/>
    </xf>
    <xf numFmtId="0" fontId="35" fillId="0" borderId="0" xfId="4" applyFont="1" applyAlignment="1">
      <alignment horizontal="center" vertical="center"/>
    </xf>
    <xf numFmtId="0" fontId="35" fillId="0" borderId="29" xfId="4" applyFont="1" applyBorder="1" applyAlignment="1">
      <alignment horizontal="center" vertical="center"/>
    </xf>
    <xf numFmtId="0" fontId="35" fillId="0" borderId="26" xfId="4" applyFont="1" applyBorder="1" applyAlignment="1">
      <alignment horizontal="left" vertical="center" wrapText="1"/>
    </xf>
    <xf numFmtId="165" fontId="35" fillId="0" borderId="26" xfId="4" applyNumberFormat="1" applyFont="1" applyBorder="1" applyAlignment="1">
      <alignment horizontal="center" vertical="center" wrapText="1"/>
    </xf>
    <xf numFmtId="0" fontId="35" fillId="0" borderId="26" xfId="4" applyFont="1" applyBorder="1" applyAlignment="1">
      <alignment horizontal="center" vertical="center"/>
    </xf>
    <xf numFmtId="165" fontId="42" fillId="0" borderId="28" xfId="11" applyFont="1" applyFill="1" applyBorder="1" applyAlignment="1">
      <alignment vertical="center"/>
    </xf>
    <xf numFmtId="0" fontId="35" fillId="0" borderId="0" xfId="4" applyFont="1" applyAlignment="1">
      <alignment horizontal="center"/>
    </xf>
    <xf numFmtId="0" fontId="45" fillId="0" borderId="0" xfId="4" applyFont="1" applyAlignment="1">
      <alignment horizontal="left"/>
    </xf>
    <xf numFmtId="0" fontId="45" fillId="0" borderId="0" xfId="4" applyFont="1" applyAlignment="1">
      <alignment horizontal="center"/>
    </xf>
    <xf numFmtId="0" fontId="41" fillId="7" borderId="17" xfId="0" applyFont="1" applyFill="1" applyBorder="1" applyAlignment="1">
      <alignment vertical="center"/>
    </xf>
    <xf numFmtId="168" fontId="42" fillId="0" borderId="16" xfId="0" applyNumberFormat="1" applyFont="1" applyBorder="1" applyAlignment="1">
      <alignment vertical="center"/>
    </xf>
    <xf numFmtId="165" fontId="42" fillId="0" borderId="0" xfId="12" applyFont="1" applyAlignment="1">
      <alignment horizontal="center"/>
    </xf>
    <xf numFmtId="43" fontId="42" fillId="0" borderId="16" xfId="0" applyNumberFormat="1" applyFont="1" applyBorder="1" applyAlignment="1">
      <alignment vertical="center"/>
    </xf>
    <xf numFmtId="165" fontId="42" fillId="0" borderId="0" xfId="12" applyFont="1" applyAlignment="1">
      <alignment horizontal="center" vertical="center"/>
    </xf>
    <xf numFmtId="0" fontId="48" fillId="0" borderId="0" xfId="0" applyFont="1"/>
    <xf numFmtId="43" fontId="42" fillId="0" borderId="1" xfId="0" applyNumberFormat="1" applyFont="1" applyBorder="1" applyAlignment="1">
      <alignment vertical="center"/>
    </xf>
    <xf numFmtId="0" fontId="50" fillId="0" borderId="0" xfId="0" applyFont="1" applyAlignment="1">
      <alignment vertical="center"/>
    </xf>
    <xf numFmtId="0" fontId="42" fillId="0" borderId="0" xfId="0" applyFont="1"/>
    <xf numFmtId="43" fontId="42" fillId="0" borderId="0" xfId="0" applyNumberFormat="1" applyFont="1" applyAlignment="1">
      <alignment vertical="center"/>
    </xf>
    <xf numFmtId="43" fontId="42" fillId="0" borderId="0" xfId="0" applyNumberFormat="1" applyFont="1"/>
    <xf numFmtId="165" fontId="42" fillId="0" borderId="15" xfId="12" applyFont="1" applyBorder="1" applyAlignment="1">
      <alignment horizontal="center" vertical="center"/>
    </xf>
    <xf numFmtId="10" fontId="42" fillId="0" borderId="15" xfId="7" applyNumberFormat="1" applyFont="1" applyBorder="1" applyAlignment="1">
      <alignment horizontal="center" vertical="center"/>
    </xf>
    <xf numFmtId="0" fontId="42" fillId="0" borderId="15" xfId="0" applyFont="1" applyBorder="1" applyAlignment="1">
      <alignment vertical="center"/>
    </xf>
    <xf numFmtId="0" fontId="48" fillId="0" borderId="0" xfId="0" applyFont="1" applyAlignment="1">
      <alignment vertical="center"/>
    </xf>
    <xf numFmtId="174" fontId="35" fillId="0" borderId="17" xfId="0" applyNumberFormat="1" applyFont="1" applyBorder="1" applyAlignment="1">
      <alignment vertical="center"/>
    </xf>
    <xf numFmtId="165" fontId="42" fillId="0" borderId="17" xfId="12" applyFont="1" applyBorder="1" applyAlignment="1">
      <alignment vertical="center"/>
    </xf>
    <xf numFmtId="173" fontId="35" fillId="0" borderId="13" xfId="3" applyNumberFormat="1" applyFont="1" applyBorder="1" applyAlignment="1">
      <alignment vertical="center"/>
    </xf>
    <xf numFmtId="165" fontId="42" fillId="0" borderId="13" xfId="12" applyFont="1" applyBorder="1" applyAlignment="1">
      <alignment vertical="center"/>
    </xf>
    <xf numFmtId="10" fontId="41" fillId="2" borderId="34" xfId="0" applyNumberFormat="1" applyFont="1" applyFill="1" applyBorder="1" applyAlignment="1">
      <alignment vertical="center" wrapText="1"/>
    </xf>
    <xf numFmtId="10" fontId="41" fillId="2" borderId="34" xfId="8" applyNumberFormat="1" applyFont="1" applyFill="1" applyBorder="1" applyAlignment="1">
      <alignment vertical="center" wrapText="1"/>
    </xf>
    <xf numFmtId="0" fontId="40" fillId="0" borderId="29" xfId="4" applyFont="1" applyBorder="1" applyAlignment="1">
      <alignment vertical="center" wrapText="1"/>
    </xf>
    <xf numFmtId="0" fontId="40" fillId="0" borderId="26" xfId="4" applyFont="1" applyBorder="1" applyAlignment="1">
      <alignment vertical="center" wrapText="1"/>
    </xf>
    <xf numFmtId="4" fontId="36" fillId="0" borderId="26" xfId="5" applyNumberFormat="1" applyFont="1" applyBorder="1" applyAlignment="1">
      <alignment vertical="center" wrapText="1"/>
    </xf>
    <xf numFmtId="4" fontId="36" fillId="0" borderId="28" xfId="5" applyNumberFormat="1" applyFont="1" applyBorder="1" applyAlignment="1">
      <alignment vertical="center" wrapText="1"/>
    </xf>
    <xf numFmtId="0" fontId="46" fillId="2" borderId="0" xfId="6" applyFont="1" applyFill="1"/>
    <xf numFmtId="11" fontId="46" fillId="2" borderId="0" xfId="6" applyNumberFormat="1" applyFont="1" applyFill="1"/>
    <xf numFmtId="0" fontId="45" fillId="0" borderId="1" xfId="0" applyFont="1" applyBorder="1" applyAlignment="1">
      <alignment vertical="center"/>
    </xf>
    <xf numFmtId="0" fontId="4" fillId="0" borderId="14" xfId="6" applyBorder="1"/>
    <xf numFmtId="0" fontId="6" fillId="2" borderId="18" xfId="5" applyFont="1" applyFill="1" applyBorder="1" applyAlignment="1">
      <alignment vertical="center"/>
    </xf>
    <xf numFmtId="0" fontId="6" fillId="2" borderId="1" xfId="5" applyFont="1" applyFill="1" applyBorder="1" applyAlignment="1">
      <alignment vertical="center"/>
    </xf>
    <xf numFmtId="0" fontId="6" fillId="2" borderId="16" xfId="5" applyFont="1" applyFill="1" applyBorder="1" applyAlignment="1">
      <alignment vertical="center"/>
    </xf>
    <xf numFmtId="0" fontId="43" fillId="7" borderId="18" xfId="4" applyFont="1" applyFill="1" applyBorder="1" applyAlignment="1">
      <alignment horizontal="center" vertical="center"/>
    </xf>
    <xf numFmtId="0" fontId="43" fillId="7" borderId="1" xfId="4" applyFont="1" applyFill="1" applyBorder="1" applyAlignment="1">
      <alignment horizontal="center" vertical="center"/>
    </xf>
    <xf numFmtId="0" fontId="43" fillId="7" borderId="16" xfId="4" applyFont="1" applyFill="1" applyBorder="1" applyAlignment="1">
      <alignment horizontal="center" vertical="center"/>
    </xf>
    <xf numFmtId="0" fontId="40" fillId="0" borderId="29" xfId="4" applyFont="1" applyBorder="1" applyAlignment="1">
      <alignment horizontal="center" vertical="center" wrapText="1"/>
    </xf>
    <xf numFmtId="0" fontId="40" fillId="0" borderId="26" xfId="4" applyFont="1" applyBorder="1" applyAlignment="1">
      <alignment horizontal="center" vertical="center" wrapText="1"/>
    </xf>
    <xf numFmtId="0" fontId="40" fillId="0" borderId="28" xfId="4" applyFont="1" applyBorder="1" applyAlignment="1">
      <alignment horizontal="center" vertical="center" wrapText="1"/>
    </xf>
    <xf numFmtId="0" fontId="40" fillId="0" borderId="31" xfId="4" applyFont="1" applyBorder="1" applyAlignment="1">
      <alignment horizontal="center" vertical="center" wrapText="1"/>
    </xf>
    <xf numFmtId="0" fontId="40" fillId="0" borderId="0" xfId="4" applyFont="1" applyAlignment="1">
      <alignment horizontal="center" vertical="center" wrapText="1"/>
    </xf>
    <xf numFmtId="0" fontId="40" fillId="0" borderId="36" xfId="4" applyFont="1" applyBorder="1" applyAlignment="1">
      <alignment horizontal="center" vertical="center" wrapText="1"/>
    </xf>
    <xf numFmtId="0" fontId="40" fillId="0" borderId="8" xfId="4" applyFont="1" applyBorder="1" applyAlignment="1">
      <alignment horizontal="center" vertical="center" wrapText="1"/>
    </xf>
    <xf numFmtId="0" fontId="40" fillId="0" borderId="14" xfId="4" applyFont="1" applyBorder="1" applyAlignment="1">
      <alignment horizontal="center" vertical="center" wrapText="1"/>
    </xf>
    <xf numFmtId="0" fontId="40" fillId="0" borderId="27" xfId="4" applyFont="1" applyBorder="1" applyAlignment="1">
      <alignment horizontal="center" vertical="center" wrapText="1"/>
    </xf>
    <xf numFmtId="14" fontId="37" fillId="7" borderId="17" xfId="4" applyNumberFormat="1" applyFont="1" applyFill="1" applyBorder="1" applyAlignment="1">
      <alignment horizontal="center" vertical="center"/>
    </xf>
    <xf numFmtId="14" fontId="37" fillId="7" borderId="5" xfId="4" applyNumberFormat="1" applyFont="1" applyFill="1" applyBorder="1" applyAlignment="1">
      <alignment horizontal="center" vertical="center"/>
    </xf>
    <xf numFmtId="0" fontId="41" fillId="7" borderId="18" xfId="6" applyFont="1" applyFill="1" applyBorder="1" applyAlignment="1">
      <alignment horizontal="left" vertical="center"/>
    </xf>
    <xf numFmtId="0" fontId="41" fillId="7" borderId="1" xfId="6" applyFont="1" applyFill="1" applyBorder="1" applyAlignment="1">
      <alignment horizontal="left" vertical="center"/>
    </xf>
    <xf numFmtId="0" fontId="41" fillId="7" borderId="16" xfId="6" applyFont="1" applyFill="1" applyBorder="1" applyAlignment="1">
      <alignment horizontal="left" vertical="center"/>
    </xf>
    <xf numFmtId="0" fontId="41" fillId="7" borderId="8" xfId="6" applyFont="1" applyFill="1" applyBorder="1" applyAlignment="1">
      <alignment horizontal="left" vertical="center"/>
    </xf>
    <xf numFmtId="0" fontId="41" fillId="7" borderId="14" xfId="6" applyFont="1" applyFill="1" applyBorder="1" applyAlignment="1">
      <alignment horizontal="left" vertical="center"/>
    </xf>
    <xf numFmtId="0" fontId="46" fillId="2" borderId="14" xfId="0" applyFont="1" applyFill="1" applyBorder="1" applyAlignment="1">
      <alignment horizontal="center" wrapText="1"/>
    </xf>
    <xf numFmtId="0" fontId="41" fillId="0" borderId="14" xfId="0" applyFont="1" applyBorder="1" applyAlignment="1">
      <alignment horizontal="center" vertical="center"/>
    </xf>
    <xf numFmtId="0" fontId="35" fillId="0" borderId="18" xfId="4" applyFont="1" applyBorder="1" applyAlignment="1">
      <alignment horizontal="left" vertical="center" wrapText="1"/>
    </xf>
    <xf numFmtId="0" fontId="35" fillId="0" borderId="1" xfId="4" applyFont="1" applyBorder="1" applyAlignment="1">
      <alignment horizontal="left" vertical="center" wrapText="1"/>
    </xf>
    <xf numFmtId="0" fontId="35" fillId="0" borderId="16" xfId="4" applyFont="1" applyBorder="1" applyAlignment="1">
      <alignment horizontal="left" vertical="center" wrapText="1"/>
    </xf>
    <xf numFmtId="165" fontId="35" fillId="0" borderId="29" xfId="9" applyFont="1" applyFill="1" applyBorder="1" applyAlignment="1">
      <alignment horizontal="center" vertical="center" wrapText="1"/>
    </xf>
    <xf numFmtId="165" fontId="35" fillId="0" borderId="26" xfId="9" applyFont="1" applyFill="1" applyBorder="1" applyAlignment="1">
      <alignment horizontal="center" vertical="center" wrapText="1"/>
    </xf>
    <xf numFmtId="165" fontId="35" fillId="0" borderId="1" xfId="9" applyFont="1" applyFill="1" applyBorder="1" applyAlignment="1">
      <alignment horizontal="center" vertical="center" wrapText="1"/>
    </xf>
    <xf numFmtId="165" fontId="35" fillId="0" borderId="18" xfId="9" applyFont="1" applyFill="1" applyBorder="1" applyAlignment="1">
      <alignment horizontal="center" vertical="center" wrapText="1"/>
    </xf>
    <xf numFmtId="165" fontId="35" fillId="0" borderId="8" xfId="9" applyFont="1" applyFill="1" applyBorder="1" applyAlignment="1">
      <alignment horizontal="center" vertical="center" wrapText="1"/>
    </xf>
    <xf numFmtId="165" fontId="35" fillId="0" borderId="14" xfId="9" applyFont="1" applyFill="1" applyBorder="1" applyAlignment="1">
      <alignment horizontal="center" vertical="center" wrapText="1"/>
    </xf>
    <xf numFmtId="0" fontId="37" fillId="0" borderId="14" xfId="0" applyFont="1" applyBorder="1" applyAlignment="1">
      <alignment horizontal="center" vertical="center"/>
    </xf>
    <xf numFmtId="0" fontId="43" fillId="0" borderId="0" xfId="0" applyFont="1" applyAlignment="1">
      <alignment horizontal="left" vertical="center"/>
    </xf>
    <xf numFmtId="0" fontId="43" fillId="0" borderId="14" xfId="0" applyFont="1" applyBorder="1" applyAlignment="1">
      <alignment horizontal="left" vertical="center"/>
    </xf>
    <xf numFmtId="0" fontId="43" fillId="0" borderId="0" xfId="0" applyFont="1" applyAlignment="1">
      <alignment horizontal="center" vertical="center"/>
    </xf>
    <xf numFmtId="165" fontId="35" fillId="0" borderId="15" xfId="9" applyFont="1" applyFill="1" applyBorder="1" applyAlignment="1">
      <alignment horizontal="center" vertical="center" wrapText="1"/>
    </xf>
    <xf numFmtId="0" fontId="4" fillId="0" borderId="18" xfId="4" applyBorder="1" applyAlignment="1">
      <alignment horizontal="center"/>
    </xf>
    <xf numFmtId="0" fontId="4" fillId="0" borderId="1" xfId="4" applyBorder="1" applyAlignment="1">
      <alignment horizontal="center"/>
    </xf>
    <xf numFmtId="0" fontId="4" fillId="0" borderId="16" xfId="4" applyBorder="1" applyAlignment="1">
      <alignment horizontal="center"/>
    </xf>
    <xf numFmtId="0" fontId="46" fillId="7" borderId="15" xfId="4" applyFont="1" applyFill="1" applyBorder="1" applyAlignment="1">
      <alignment horizontal="center" vertical="center"/>
    </xf>
    <xf numFmtId="0" fontId="41" fillId="7" borderId="15" xfId="4" applyFont="1" applyFill="1" applyBorder="1" applyAlignment="1">
      <alignment horizontal="left" vertical="center"/>
    </xf>
    <xf numFmtId="0" fontId="45" fillId="0" borderId="18" xfId="4" applyFont="1" applyBorder="1" applyAlignment="1">
      <alignment horizontal="center" vertical="center" wrapText="1"/>
    </xf>
    <xf numFmtId="0" fontId="45" fillId="0" borderId="1" xfId="4" applyFont="1" applyBorder="1" applyAlignment="1">
      <alignment horizontal="center" vertical="center" wrapText="1"/>
    </xf>
    <xf numFmtId="165" fontId="35" fillId="0" borderId="18" xfId="12" applyFont="1" applyFill="1" applyBorder="1" applyAlignment="1">
      <alignment horizontal="center" vertical="center" wrapText="1"/>
    </xf>
    <xf numFmtId="165" fontId="35" fillId="0" borderId="1" xfId="12" applyFont="1" applyFill="1" applyBorder="1" applyAlignment="1">
      <alignment horizontal="center" vertical="center" wrapText="1"/>
    </xf>
    <xf numFmtId="0" fontId="35" fillId="0" borderId="18" xfId="4" applyFont="1" applyBorder="1" applyAlignment="1">
      <alignment horizontal="center" vertical="center" wrapText="1"/>
    </xf>
    <xf numFmtId="0" fontId="35" fillId="0" borderId="1" xfId="4" applyFont="1" applyBorder="1" applyAlignment="1">
      <alignment horizontal="center" vertical="center" wrapText="1"/>
    </xf>
    <xf numFmtId="167" fontId="41" fillId="7" borderId="17" xfId="10" quotePrefix="1" applyNumberFormat="1" applyFont="1" applyFill="1" applyBorder="1" applyAlignment="1">
      <alignment horizontal="center" vertical="center" wrapText="1"/>
    </xf>
    <xf numFmtId="167" fontId="41" fillId="7" borderId="30" xfId="10" quotePrefix="1" applyNumberFormat="1" applyFont="1" applyFill="1" applyBorder="1" applyAlignment="1">
      <alignment horizontal="center" vertical="center" wrapText="1"/>
    </xf>
    <xf numFmtId="167" fontId="41" fillId="7" borderId="5" xfId="10" quotePrefix="1" applyNumberFormat="1" applyFont="1" applyFill="1" applyBorder="1" applyAlignment="1">
      <alignment horizontal="center" vertical="center" wrapText="1"/>
    </xf>
    <xf numFmtId="165" fontId="35" fillId="0" borderId="18" xfId="12" applyFont="1" applyBorder="1" applyAlignment="1">
      <alignment horizontal="center" vertical="center"/>
    </xf>
    <xf numFmtId="165" fontId="35" fillId="0" borderId="1" xfId="12" applyFont="1" applyBorder="1" applyAlignment="1">
      <alignment horizontal="center" vertical="center"/>
    </xf>
    <xf numFmtId="168" fontId="36" fillId="0" borderId="18" xfId="2" applyNumberFormat="1" applyFont="1" applyBorder="1" applyAlignment="1">
      <alignment horizontal="left" vertical="center"/>
    </xf>
    <xf numFmtId="168" fontId="36" fillId="0" borderId="16" xfId="2" applyNumberFormat="1" applyFont="1" applyBorder="1" applyAlignment="1">
      <alignment horizontal="left" vertical="center"/>
    </xf>
    <xf numFmtId="165" fontId="35" fillId="0" borderId="28" xfId="12" applyFont="1" applyBorder="1" applyAlignment="1">
      <alignment horizontal="center" vertical="center"/>
    </xf>
    <xf numFmtId="165" fontId="35" fillId="0" borderId="36" xfId="12" applyFont="1" applyBorder="1" applyAlignment="1">
      <alignment horizontal="center" vertical="center"/>
    </xf>
    <xf numFmtId="165" fontId="35" fillId="0" borderId="27" xfId="12" applyFont="1" applyBorder="1" applyAlignment="1">
      <alignment horizontal="center" vertical="center"/>
    </xf>
    <xf numFmtId="165" fontId="35" fillId="0" borderId="18" xfId="12" applyFont="1" applyFill="1" applyBorder="1" applyAlignment="1">
      <alignment horizontal="center" vertical="center"/>
    </xf>
    <xf numFmtId="165" fontId="35" fillId="0" borderId="1" xfId="12" applyFont="1" applyFill="1" applyBorder="1" applyAlignment="1">
      <alignment horizontal="center" vertical="center"/>
    </xf>
    <xf numFmtId="0" fontId="41" fillId="7" borderId="18" xfId="4" applyFont="1" applyFill="1" applyBorder="1" applyAlignment="1">
      <alignment horizontal="center" vertical="center"/>
    </xf>
    <xf numFmtId="0" fontId="41" fillId="7" borderId="1" xfId="4" applyFont="1" applyFill="1" applyBorder="1" applyAlignment="1">
      <alignment horizontal="center" vertical="center"/>
    </xf>
    <xf numFmtId="0" fontId="41" fillId="7" borderId="16" xfId="4" applyFont="1" applyFill="1" applyBorder="1" applyAlignment="1">
      <alignment horizontal="center" vertical="center"/>
    </xf>
    <xf numFmtId="0" fontId="6" fillId="2" borderId="0" xfId="4" applyFont="1" applyFill="1" applyAlignment="1">
      <alignment horizontal="center" vertical="top" wrapText="1"/>
    </xf>
    <xf numFmtId="17" fontId="6" fillId="2" borderId="0" xfId="4" applyNumberFormat="1" applyFont="1" applyFill="1" applyAlignment="1">
      <alignment horizontal="center" vertical="top" wrapText="1"/>
    </xf>
    <xf numFmtId="0" fontId="6" fillId="2" borderId="0" xfId="4" applyFont="1" applyFill="1" applyAlignment="1">
      <alignment horizontal="left" vertical="top" wrapText="1"/>
    </xf>
    <xf numFmtId="0" fontId="0" fillId="0" borderId="1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7" fillId="7" borderId="18" xfId="0" applyFont="1" applyFill="1" applyBorder="1" applyAlignment="1">
      <alignment horizontal="left" vertical="center"/>
    </xf>
    <xf numFmtId="0" fontId="37" fillId="7" borderId="1" xfId="0" applyFont="1" applyFill="1" applyBorder="1" applyAlignment="1">
      <alignment horizontal="left" vertical="center"/>
    </xf>
    <xf numFmtId="0" fontId="38" fillId="7" borderId="18" xfId="0" applyFont="1" applyFill="1" applyBorder="1" applyAlignment="1">
      <alignment horizontal="left" vertical="center" wrapText="1"/>
    </xf>
    <xf numFmtId="0" fontId="37" fillId="7" borderId="1" xfId="0" applyFont="1" applyFill="1" applyBorder="1" applyAlignment="1">
      <alignment horizontal="left" vertical="center" wrapText="1"/>
    </xf>
    <xf numFmtId="0" fontId="37" fillId="7" borderId="18" xfId="0" applyFont="1" applyFill="1" applyBorder="1" applyAlignment="1">
      <alignment horizontal="center" vertical="center" wrapText="1"/>
    </xf>
    <xf numFmtId="0" fontId="37" fillId="7" borderId="16" xfId="0" applyFont="1" applyFill="1" applyBorder="1" applyAlignment="1">
      <alignment horizontal="center" vertical="center" wrapText="1"/>
    </xf>
    <xf numFmtId="0" fontId="41" fillId="7" borderId="18" xfId="0" applyFont="1" applyFill="1" applyBorder="1" applyAlignment="1">
      <alignment horizontal="center" vertical="center"/>
    </xf>
    <xf numFmtId="0" fontId="41" fillId="7" borderId="16" xfId="0" applyFont="1" applyFill="1" applyBorder="1" applyAlignment="1">
      <alignment horizontal="center" vertical="center"/>
    </xf>
    <xf numFmtId="0" fontId="37" fillId="7" borderId="18" xfId="0" applyFont="1" applyFill="1" applyBorder="1" applyAlignment="1">
      <alignment horizontal="center" vertical="center"/>
    </xf>
    <xf numFmtId="0" fontId="37" fillId="7" borderId="16" xfId="0" applyFont="1" applyFill="1" applyBorder="1" applyAlignment="1">
      <alignment horizontal="center" vertical="center"/>
    </xf>
    <xf numFmtId="0" fontId="43" fillId="7" borderId="15" xfId="0" applyFont="1" applyFill="1" applyBorder="1" applyAlignment="1">
      <alignment horizontal="center" vertical="center"/>
    </xf>
    <xf numFmtId="0" fontId="37" fillId="7" borderId="8" xfId="0" applyFont="1" applyFill="1" applyBorder="1" applyAlignment="1">
      <alignment horizontal="left" vertical="center"/>
    </xf>
    <xf numFmtId="0" fontId="37" fillId="7" borderId="14" xfId="0" applyFont="1" applyFill="1" applyBorder="1" applyAlignment="1">
      <alignment horizontal="left" vertical="center"/>
    </xf>
    <xf numFmtId="0" fontId="37" fillId="7" borderId="27" xfId="0" applyFont="1" applyFill="1" applyBorder="1" applyAlignment="1">
      <alignment horizontal="left" vertical="center"/>
    </xf>
    <xf numFmtId="0" fontId="37" fillId="7" borderId="18" xfId="0" applyFont="1" applyFill="1" applyBorder="1" applyAlignment="1">
      <alignment horizontal="left" vertical="center" wrapText="1"/>
    </xf>
    <xf numFmtId="0" fontId="41" fillId="7" borderId="8" xfId="0" applyFont="1" applyFill="1" applyBorder="1" applyAlignment="1">
      <alignment horizontal="center" vertical="center"/>
    </xf>
    <xf numFmtId="0" fontId="41" fillId="7" borderId="14" xfId="0" applyFont="1" applyFill="1" applyBorder="1" applyAlignment="1">
      <alignment horizontal="center" vertical="center"/>
    </xf>
    <xf numFmtId="0" fontId="44" fillId="0" borderId="1" xfId="0" applyFont="1" applyBorder="1" applyAlignment="1">
      <alignment horizontal="left" vertical="center"/>
    </xf>
    <xf numFmtId="0" fontId="37" fillId="0" borderId="0" xfId="0" applyFont="1" applyAlignment="1">
      <alignment horizontal="center" vertical="center"/>
    </xf>
    <xf numFmtId="0" fontId="37" fillId="7" borderId="18" xfId="0" applyFont="1" applyFill="1" applyBorder="1" applyAlignment="1">
      <alignment horizontal="right" vertical="center"/>
    </xf>
    <xf numFmtId="0" fontId="37" fillId="7" borderId="1" xfId="0" applyFont="1" applyFill="1" applyBorder="1" applyAlignment="1">
      <alignment horizontal="right" vertical="center"/>
    </xf>
    <xf numFmtId="0" fontId="37" fillId="7" borderId="16" xfId="0" applyFont="1" applyFill="1" applyBorder="1" applyAlignment="1">
      <alignment horizontal="right" vertical="center"/>
    </xf>
    <xf numFmtId="0" fontId="44" fillId="0" borderId="26" xfId="0" applyFont="1" applyBorder="1" applyAlignment="1">
      <alignment horizontal="left" vertical="center"/>
    </xf>
    <xf numFmtId="0" fontId="43" fillId="0" borderId="14" xfId="0" applyFont="1" applyBorder="1" applyAlignment="1">
      <alignment horizontal="center" vertical="center"/>
    </xf>
    <xf numFmtId="0" fontId="36" fillId="2" borderId="29" xfId="0" applyFont="1" applyFill="1" applyBorder="1" applyAlignment="1">
      <alignment horizontal="center" vertical="center" wrapText="1"/>
    </xf>
    <xf numFmtId="0" fontId="36" fillId="2" borderId="28" xfId="0" applyFont="1" applyFill="1" applyBorder="1" applyAlignment="1">
      <alignment horizontal="center" vertical="center" wrapText="1"/>
    </xf>
    <xf numFmtId="0" fontId="36" fillId="2" borderId="8" xfId="0" applyFont="1" applyFill="1" applyBorder="1" applyAlignment="1">
      <alignment horizontal="center" vertical="center" wrapText="1"/>
    </xf>
    <xf numFmtId="0" fontId="36" fillId="2" borderId="27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41" fillId="0" borderId="32" xfId="0" applyFont="1" applyBorder="1" applyAlignment="1">
      <alignment horizontal="center" vertical="center" wrapText="1"/>
    </xf>
    <xf numFmtId="0" fontId="41" fillId="0" borderId="33" xfId="0" applyFont="1" applyBorder="1" applyAlignment="1">
      <alignment horizontal="center" vertical="center" wrapText="1"/>
    </xf>
    <xf numFmtId="0" fontId="41" fillId="0" borderId="34" xfId="0" applyFont="1" applyBorder="1" applyAlignment="1">
      <alignment horizontal="center" vertical="center" wrapText="1"/>
    </xf>
    <xf numFmtId="0" fontId="41" fillId="0" borderId="35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8" xfId="0" applyFont="1" applyBorder="1" applyAlignment="1">
      <alignment horizontal="center" vertical="center" wrapText="1"/>
    </xf>
    <xf numFmtId="0" fontId="41" fillId="0" borderId="8" xfId="0" applyFont="1" applyBorder="1" applyAlignment="1">
      <alignment horizontal="center" vertical="center" wrapText="1"/>
    </xf>
    <xf numFmtId="0" fontId="41" fillId="0" borderId="27" xfId="0" applyFont="1" applyBorder="1" applyAlignment="1">
      <alignment horizontal="center" vertical="center" wrapText="1"/>
    </xf>
    <xf numFmtId="0" fontId="45" fillId="0" borderId="14" xfId="0" applyFont="1" applyBorder="1" applyAlignment="1">
      <alignment horizontal="left" vertical="center"/>
    </xf>
    <xf numFmtId="0" fontId="45" fillId="0" borderId="26" xfId="0" applyFont="1" applyBorder="1" applyAlignment="1">
      <alignment horizontal="left" vertical="center"/>
    </xf>
    <xf numFmtId="0" fontId="41" fillId="0" borderId="0" xfId="0" applyFont="1" applyAlignment="1">
      <alignment horizontal="center" vertical="center"/>
    </xf>
    <xf numFmtId="0" fontId="41" fillId="2" borderId="29" xfId="0" applyFont="1" applyFill="1" applyBorder="1" applyAlignment="1">
      <alignment horizontal="right" vertical="center" wrapText="1"/>
    </xf>
    <xf numFmtId="0" fontId="41" fillId="2" borderId="26" xfId="0" applyFont="1" applyFill="1" applyBorder="1" applyAlignment="1">
      <alignment horizontal="right" vertical="center" wrapText="1"/>
    </xf>
    <xf numFmtId="0" fontId="41" fillId="2" borderId="28" xfId="0" applyFont="1" applyFill="1" applyBorder="1" applyAlignment="1">
      <alignment horizontal="right" vertical="center" wrapText="1"/>
    </xf>
    <xf numFmtId="0" fontId="41" fillId="2" borderId="31" xfId="0" applyFont="1" applyFill="1" applyBorder="1" applyAlignment="1">
      <alignment horizontal="right" vertical="center" wrapText="1"/>
    </xf>
    <xf numFmtId="0" fontId="41" fillId="2" borderId="0" xfId="0" applyFont="1" applyFill="1" applyAlignment="1">
      <alignment horizontal="right" vertical="center" wrapText="1"/>
    </xf>
    <xf numFmtId="0" fontId="41" fillId="2" borderId="36" xfId="0" applyFont="1" applyFill="1" applyBorder="1" applyAlignment="1">
      <alignment horizontal="right" vertical="center" wrapText="1"/>
    </xf>
    <xf numFmtId="0" fontId="46" fillId="7" borderId="15" xfId="0" applyFont="1" applyFill="1" applyBorder="1" applyAlignment="1">
      <alignment horizontal="center" vertical="center"/>
    </xf>
    <xf numFmtId="0" fontId="41" fillId="7" borderId="18" xfId="0" applyFont="1" applyFill="1" applyBorder="1" applyAlignment="1">
      <alignment horizontal="left" vertical="center"/>
    </xf>
    <xf numFmtId="0" fontId="41" fillId="7" borderId="1" xfId="0" applyFont="1" applyFill="1" applyBorder="1" applyAlignment="1">
      <alignment horizontal="left" vertical="center"/>
    </xf>
    <xf numFmtId="0" fontId="41" fillId="7" borderId="16" xfId="0" applyFont="1" applyFill="1" applyBorder="1" applyAlignment="1">
      <alignment horizontal="left" vertical="center"/>
    </xf>
    <xf numFmtId="0" fontId="41" fillId="7" borderId="15" xfId="0" applyFont="1" applyFill="1" applyBorder="1" applyAlignment="1">
      <alignment horizontal="left" vertical="center"/>
    </xf>
    <xf numFmtId="0" fontId="41" fillId="7" borderId="29" xfId="0" applyFont="1" applyFill="1" applyBorder="1" applyAlignment="1">
      <alignment horizontal="left" vertical="center"/>
    </xf>
    <xf numFmtId="0" fontId="41" fillId="7" borderId="26" xfId="0" applyFont="1" applyFill="1" applyBorder="1" applyAlignment="1">
      <alignment horizontal="left" vertical="center"/>
    </xf>
    <xf numFmtId="0" fontId="41" fillId="7" borderId="28" xfId="0" applyFont="1" applyFill="1" applyBorder="1" applyAlignment="1">
      <alignment horizontal="left" vertical="center"/>
    </xf>
    <xf numFmtId="0" fontId="41" fillId="7" borderId="26" xfId="0" applyFont="1" applyFill="1" applyBorder="1" applyAlignment="1">
      <alignment horizontal="left" vertical="center" wrapText="1"/>
    </xf>
    <xf numFmtId="0" fontId="41" fillId="2" borderId="18" xfId="0" applyFont="1" applyFill="1" applyBorder="1" applyAlignment="1">
      <alignment horizontal="center" vertical="center"/>
    </xf>
    <xf numFmtId="0" fontId="41" fillId="2" borderId="16" xfId="0" applyFont="1" applyFill="1" applyBorder="1" applyAlignment="1">
      <alignment horizontal="center" vertical="center"/>
    </xf>
    <xf numFmtId="0" fontId="45" fillId="0" borderId="1" xfId="0" applyFont="1" applyBorder="1" applyAlignment="1">
      <alignment horizontal="left" vertical="center"/>
    </xf>
    <xf numFmtId="0" fontId="33" fillId="0" borderId="0" xfId="4" applyFont="1" applyAlignment="1">
      <alignment horizontal="left" vertical="center"/>
    </xf>
    <xf numFmtId="0" fontId="31" fillId="0" borderId="0" xfId="4" applyFont="1" applyAlignment="1">
      <alignment vertical="center" wrapText="1"/>
    </xf>
    <xf numFmtId="0" fontId="31" fillId="0" borderId="0" xfId="4" applyFont="1" applyAlignment="1">
      <alignment horizontal="center" vertical="center" wrapText="1"/>
    </xf>
    <xf numFmtId="0" fontId="15" fillId="0" borderId="0" xfId="4" applyFont="1" applyAlignment="1">
      <alignment horizontal="left" vertical="center" wrapText="1"/>
    </xf>
    <xf numFmtId="0" fontId="22" fillId="5" borderId="0" xfId="4" applyFont="1" applyFill="1" applyAlignment="1">
      <alignment horizontal="left" vertical="center" wrapText="1"/>
    </xf>
    <xf numFmtId="0" fontId="29" fillId="0" borderId="0" xfId="4" applyFont="1" applyAlignment="1">
      <alignment horizontal="left" vertical="center"/>
    </xf>
    <xf numFmtId="0" fontId="29" fillId="0" borderId="18" xfId="4" applyFont="1" applyBorder="1" applyAlignment="1">
      <alignment horizontal="left" vertical="center" wrapText="1"/>
    </xf>
    <xf numFmtId="0" fontId="29" fillId="0" borderId="1" xfId="4" applyFont="1" applyBorder="1" applyAlignment="1">
      <alignment horizontal="left" vertical="center" wrapText="1"/>
    </xf>
    <xf numFmtId="0" fontId="29" fillId="0" borderId="16" xfId="4" applyFont="1" applyBorder="1" applyAlignment="1">
      <alignment horizontal="left" vertical="center" wrapText="1"/>
    </xf>
    <xf numFmtId="0" fontId="30" fillId="0" borderId="14" xfId="4" applyFont="1" applyBorder="1" applyAlignment="1">
      <alignment horizontal="center" vertical="center"/>
    </xf>
    <xf numFmtId="0" fontId="29" fillId="4" borderId="0" xfId="4" applyFont="1" applyFill="1" applyAlignment="1" applyProtection="1">
      <alignment horizontal="center" vertical="center"/>
      <protection locked="0"/>
    </xf>
    <xf numFmtId="0" fontId="21" fillId="4" borderId="0" xfId="4" applyFont="1" applyFill="1" applyAlignment="1" applyProtection="1">
      <alignment horizontal="center" vertical="center"/>
      <protection locked="0"/>
    </xf>
    <xf numFmtId="0" fontId="13" fillId="6" borderId="1" xfId="4" applyFont="1" applyFill="1" applyBorder="1" applyAlignment="1" applyProtection="1">
      <alignment horizontal="left" vertical="center" wrapText="1"/>
      <protection locked="0"/>
    </xf>
    <xf numFmtId="9" fontId="13" fillId="6" borderId="1" xfId="4" applyNumberFormat="1" applyFont="1" applyFill="1" applyBorder="1" applyAlignment="1" applyProtection="1">
      <alignment horizontal="left" vertical="center" wrapText="1"/>
      <protection locked="0"/>
    </xf>
    <xf numFmtId="0" fontId="13" fillId="3" borderId="19" xfId="4" applyFont="1" applyFill="1" applyBorder="1" applyAlignment="1">
      <alignment horizontal="center" vertical="center" wrapText="1"/>
    </xf>
    <xf numFmtId="0" fontId="13" fillId="3" borderId="20" xfId="4" applyFont="1" applyFill="1" applyBorder="1" applyAlignment="1">
      <alignment horizontal="center" vertical="center" wrapText="1"/>
    </xf>
    <xf numFmtId="0" fontId="13" fillId="3" borderId="21" xfId="4" applyFont="1" applyFill="1" applyBorder="1" applyAlignment="1">
      <alignment horizontal="center" vertical="center" wrapText="1"/>
    </xf>
    <xf numFmtId="0" fontId="13" fillId="3" borderId="22" xfId="4" applyFont="1" applyFill="1" applyBorder="1" applyAlignment="1">
      <alignment horizontal="center" vertical="center" wrapText="1"/>
    </xf>
    <xf numFmtId="0" fontId="13" fillId="3" borderId="23" xfId="4" applyFont="1" applyFill="1" applyBorder="1" applyAlignment="1">
      <alignment horizontal="center" vertical="center" wrapText="1"/>
    </xf>
    <xf numFmtId="0" fontId="20" fillId="3" borderId="24" xfId="4" applyFont="1" applyFill="1" applyBorder="1" applyAlignment="1">
      <alignment horizontal="center" vertical="center" wrapText="1"/>
    </xf>
    <xf numFmtId="0" fontId="20" fillId="3" borderId="12" xfId="4" applyFont="1" applyFill="1" applyBorder="1" applyAlignment="1">
      <alignment horizontal="center" vertical="center" wrapText="1"/>
    </xf>
    <xf numFmtId="0" fontId="15" fillId="0" borderId="0" xfId="4" applyFont="1" applyAlignment="1">
      <alignment horizontal="left" vertical="center"/>
    </xf>
    <xf numFmtId="0" fontId="13" fillId="0" borderId="0" xfId="4" applyFont="1" applyAlignment="1">
      <alignment horizontal="center" vertical="center" wrapText="1"/>
    </xf>
    <xf numFmtId="0" fontId="15" fillId="6" borderId="1" xfId="4" applyFont="1" applyFill="1" applyBorder="1" applyAlignment="1" applyProtection="1">
      <alignment horizontal="left" vertical="center" wrapText="1"/>
      <protection locked="0"/>
    </xf>
    <xf numFmtId="0" fontId="4" fillId="0" borderId="15" xfId="4" applyBorder="1" applyAlignment="1">
      <alignment horizontal="center"/>
    </xf>
    <xf numFmtId="0" fontId="4" fillId="0" borderId="0" xfId="4" applyAlignment="1">
      <alignment horizontal="center" vertical="center" wrapText="1"/>
    </xf>
    <xf numFmtId="11" fontId="46" fillId="2" borderId="14" xfId="6" applyNumberFormat="1" applyFont="1" applyFill="1" applyBorder="1" applyAlignment="1">
      <alignment horizontal="center"/>
    </xf>
    <xf numFmtId="11" fontId="46" fillId="2" borderId="0" xfId="6" applyNumberFormat="1" applyFont="1" applyFill="1" applyAlignment="1">
      <alignment horizontal="center"/>
    </xf>
    <xf numFmtId="11" fontId="46" fillId="2" borderId="14" xfId="6" applyNumberFormat="1" applyFont="1" applyFill="1" applyBorder="1" applyAlignment="1" applyProtection="1">
      <alignment horizontal="center" vertical="center"/>
      <protection locked="0"/>
    </xf>
    <xf numFmtId="0" fontId="46" fillId="2" borderId="0" xfId="6" applyFont="1" applyFill="1" applyAlignment="1">
      <alignment horizontal="center"/>
    </xf>
    <xf numFmtId="11" fontId="46" fillId="0" borderId="0" xfId="6" applyNumberFormat="1" applyFont="1" applyAlignment="1">
      <alignment horizontal="center"/>
    </xf>
    <xf numFmtId="0" fontId="38" fillId="7" borderId="18" xfId="4" applyFont="1" applyFill="1" applyBorder="1" applyAlignment="1">
      <alignment horizontal="left" vertical="center"/>
    </xf>
    <xf numFmtId="0" fontId="37" fillId="7" borderId="1" xfId="4" applyFont="1" applyFill="1" applyBorder="1" applyAlignment="1">
      <alignment horizontal="left" vertical="center"/>
    </xf>
    <xf numFmtId="0" fontId="37" fillId="7" borderId="16" xfId="4" applyFont="1" applyFill="1" applyBorder="1" applyAlignment="1">
      <alignment horizontal="left" vertical="center"/>
    </xf>
    <xf numFmtId="0" fontId="37" fillId="7" borderId="18" xfId="4" applyFont="1" applyFill="1" applyBorder="1" applyAlignment="1">
      <alignment horizontal="left" vertical="center" wrapText="1"/>
    </xf>
    <xf numFmtId="0" fontId="37" fillId="7" borderId="1" xfId="4" applyFont="1" applyFill="1" applyBorder="1" applyAlignment="1">
      <alignment horizontal="left" vertical="center" wrapText="1"/>
    </xf>
    <xf numFmtId="0" fontId="37" fillId="7" borderId="16" xfId="4" applyFont="1" applyFill="1" applyBorder="1" applyAlignment="1">
      <alignment horizontal="left" vertical="center" wrapText="1"/>
    </xf>
    <xf numFmtId="14" fontId="37" fillId="7" borderId="1" xfId="4" applyNumberFormat="1" applyFont="1" applyFill="1" applyBorder="1" applyAlignment="1">
      <alignment horizontal="center" vertical="center"/>
    </xf>
    <xf numFmtId="14" fontId="37" fillId="7" borderId="16" xfId="4" applyNumberFormat="1" applyFont="1" applyFill="1" applyBorder="1" applyAlignment="1">
      <alignment horizontal="center" vertical="center"/>
    </xf>
    <xf numFmtId="14" fontId="37" fillId="7" borderId="26" xfId="4" applyNumberFormat="1" applyFont="1" applyFill="1" applyBorder="1" applyAlignment="1">
      <alignment horizontal="center" vertical="center" wrapText="1"/>
    </xf>
    <xf numFmtId="14" fontId="37" fillId="7" borderId="28" xfId="4" applyNumberFormat="1" applyFont="1" applyFill="1" applyBorder="1" applyAlignment="1">
      <alignment horizontal="center" vertical="center" wrapText="1"/>
    </xf>
    <xf numFmtId="0" fontId="46" fillId="7" borderId="18" xfId="4" applyFont="1" applyFill="1" applyBorder="1" applyAlignment="1">
      <alignment horizontal="center"/>
    </xf>
    <xf numFmtId="0" fontId="46" fillId="7" borderId="1" xfId="4" applyFont="1" applyFill="1" applyBorder="1" applyAlignment="1">
      <alignment horizontal="center"/>
    </xf>
    <xf numFmtId="0" fontId="37" fillId="7" borderId="1" xfId="4" applyFont="1" applyFill="1" applyBorder="1" applyAlignment="1">
      <alignment horizontal="center" vertical="center"/>
    </xf>
    <xf numFmtId="0" fontId="37" fillId="7" borderId="16" xfId="4" applyFont="1" applyFill="1" applyBorder="1" applyAlignment="1">
      <alignment horizontal="center" vertical="center"/>
    </xf>
    <xf numFmtId="0" fontId="37" fillId="7" borderId="15" xfId="4" applyFont="1" applyFill="1" applyBorder="1" applyAlignment="1">
      <alignment horizontal="right" vertical="center"/>
    </xf>
    <xf numFmtId="0" fontId="46" fillId="0" borderId="0" xfId="4" applyFont="1" applyAlignment="1">
      <alignment horizontal="center" vertical="center"/>
    </xf>
    <xf numFmtId="0" fontId="38" fillId="7" borderId="1" xfId="4" applyFont="1" applyFill="1" applyBorder="1" applyAlignment="1">
      <alignment horizontal="left" vertical="center"/>
    </xf>
    <xf numFmtId="0" fontId="38" fillId="7" borderId="16" xfId="4" applyFont="1" applyFill="1" applyBorder="1" applyAlignment="1">
      <alignment horizontal="left" vertical="center"/>
    </xf>
    <xf numFmtId="0" fontId="38" fillId="7" borderId="18" xfId="4" applyFont="1" applyFill="1" applyBorder="1" applyAlignment="1">
      <alignment horizontal="center" vertical="center"/>
    </xf>
    <xf numFmtId="0" fontId="38" fillId="7" borderId="16" xfId="4" applyFont="1" applyFill="1" applyBorder="1" applyAlignment="1">
      <alignment horizontal="center" vertical="center"/>
    </xf>
    <xf numFmtId="165" fontId="37" fillId="7" borderId="29" xfId="13" applyFont="1" applyFill="1" applyBorder="1" applyAlignment="1">
      <alignment horizontal="center" vertical="center" wrapText="1"/>
    </xf>
    <xf numFmtId="165" fontId="37" fillId="7" borderId="28" xfId="13" applyFont="1" applyFill="1" applyBorder="1" applyAlignment="1">
      <alignment horizontal="center" vertical="center" wrapText="1"/>
    </xf>
    <xf numFmtId="0" fontId="41" fillId="7" borderId="29" xfId="6" applyFont="1" applyFill="1" applyBorder="1" applyAlignment="1">
      <alignment horizontal="left" vertical="center"/>
    </xf>
    <xf numFmtId="0" fontId="41" fillId="7" borderId="26" xfId="6" applyFont="1" applyFill="1" applyBorder="1" applyAlignment="1">
      <alignment horizontal="left" vertical="center"/>
    </xf>
    <xf numFmtId="0" fontId="41" fillId="7" borderId="28" xfId="6" applyFont="1" applyFill="1" applyBorder="1" applyAlignment="1">
      <alignment horizontal="left" vertical="center"/>
    </xf>
    <xf numFmtId="165" fontId="37" fillId="7" borderId="18" xfId="13" applyFont="1" applyFill="1" applyBorder="1" applyAlignment="1">
      <alignment horizontal="center" vertical="center" wrapText="1"/>
    </xf>
    <xf numFmtId="165" fontId="37" fillId="7" borderId="16" xfId="13" applyFont="1" applyFill="1" applyBorder="1" applyAlignment="1">
      <alignment horizontal="center" vertical="center" wrapText="1"/>
    </xf>
    <xf numFmtId="0" fontId="41" fillId="7" borderId="18" xfId="6" applyFont="1" applyFill="1" applyBorder="1" applyAlignment="1">
      <alignment horizontal="left" vertical="center" wrapText="1"/>
    </xf>
    <xf numFmtId="0" fontId="41" fillId="7" borderId="1" xfId="6" applyFont="1" applyFill="1" applyBorder="1" applyAlignment="1">
      <alignment horizontal="left" vertical="center" wrapText="1"/>
    </xf>
    <xf numFmtId="4" fontId="41" fillId="7" borderId="18" xfId="5" applyNumberFormat="1" applyFont="1" applyFill="1" applyBorder="1" applyAlignment="1">
      <alignment horizontal="right" vertical="center" wrapText="1"/>
    </xf>
    <xf numFmtId="4" fontId="41" fillId="7" borderId="1" xfId="5" applyNumberFormat="1" applyFont="1" applyFill="1" applyBorder="1" applyAlignment="1">
      <alignment horizontal="right" vertical="center" wrapText="1"/>
    </xf>
    <xf numFmtId="4" fontId="41" fillId="7" borderId="16" xfId="5" applyNumberFormat="1" applyFont="1" applyFill="1" applyBorder="1" applyAlignment="1">
      <alignment horizontal="right" vertical="center" wrapText="1"/>
    </xf>
    <xf numFmtId="0" fontId="6" fillId="2" borderId="14" xfId="5" applyFont="1" applyFill="1" applyBorder="1" applyAlignment="1">
      <alignment horizontal="center" vertical="center"/>
    </xf>
    <xf numFmtId="0" fontId="41" fillId="7" borderId="15" xfId="6" applyFont="1" applyFill="1" applyBorder="1" applyAlignment="1">
      <alignment horizontal="left" vertical="center"/>
    </xf>
    <xf numFmtId="0" fontId="43" fillId="7" borderId="1" xfId="5" applyFont="1" applyFill="1" applyBorder="1" applyAlignment="1">
      <alignment horizontal="center" vertical="center" wrapText="1"/>
    </xf>
  </cellXfs>
  <cellStyles count="15">
    <cellStyle name="Hyperlink 2" xfId="1" xr:uid="{DD346C71-D12C-4EDC-83DB-CFD9A86E5C22}"/>
    <cellStyle name="Moeda" xfId="2" builtinId="4"/>
    <cellStyle name="Moeda 4" xfId="3" xr:uid="{6BEBA0F4-BAB4-458D-A328-BA480A2E4E38}"/>
    <cellStyle name="Normal" xfId="0" builtinId="0"/>
    <cellStyle name="Normal 2" xfId="4" xr:uid="{94847615-887F-49E1-A72F-864E6E56AF31}"/>
    <cellStyle name="Normal_MediçãoMataBurro" xfId="5" xr:uid="{344FA3EC-C148-4044-86E7-9B0373A9B984}"/>
    <cellStyle name="Normal_ORÇAMENTO PREFEITURA" xfId="6" xr:uid="{35A23352-C8DF-4804-933A-88EAB7968572}"/>
    <cellStyle name="Porcentagem" xfId="7" builtinId="5"/>
    <cellStyle name="Porcentagem 2" xfId="14" xr:uid="{39AB660F-D413-4A74-9480-940C50483E82}"/>
    <cellStyle name="Separador de milhares 2" xfId="8" xr:uid="{24DEFB51-9278-47F9-A903-4F0D567C506C}"/>
    <cellStyle name="Separador de milhares 2 2" xfId="9" xr:uid="{2CAAC24A-40C3-4FEE-8867-B99627B19D6B}"/>
    <cellStyle name="Separador de milhares 3" xfId="10" xr:uid="{C8F6E57A-C323-4453-8D8E-CB402C422E9E}"/>
    <cellStyle name="Separador de milhares 4" xfId="11" xr:uid="{CB354846-1873-4177-90A9-E6449D53E8D2}"/>
    <cellStyle name="Vírgula" xfId="12" builtinId="3"/>
    <cellStyle name="Vírgula 2" xfId="13" xr:uid="{558C21E1-D2D4-47CF-9B94-6F9BD1384D28}"/>
  </cellStyles>
  <dxfs count="2">
    <dxf>
      <fill>
        <patternFill>
          <bgColor indexed="11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.jpeg"/><Relationship Id="rId3" Type="http://schemas.openxmlformats.org/officeDocument/2006/relationships/image" Target="../media/image7.jpeg"/><Relationship Id="rId7" Type="http://schemas.openxmlformats.org/officeDocument/2006/relationships/image" Target="../media/image11.jpe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6" Type="http://schemas.openxmlformats.org/officeDocument/2006/relationships/image" Target="../media/image10.jpeg"/><Relationship Id="rId5" Type="http://schemas.openxmlformats.org/officeDocument/2006/relationships/image" Target="../media/image9.jpeg"/><Relationship Id="rId10" Type="http://schemas.openxmlformats.org/officeDocument/2006/relationships/image" Target="../media/image14.jpeg"/><Relationship Id="rId4" Type="http://schemas.openxmlformats.org/officeDocument/2006/relationships/image" Target="../media/image8.jpeg"/><Relationship Id="rId9" Type="http://schemas.openxmlformats.org/officeDocument/2006/relationships/image" Target="../media/image1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342900</xdr:colOff>
      <xdr:row>0</xdr:row>
      <xdr:rowOff>91440</xdr:rowOff>
    </xdr:from>
    <xdr:to>
      <xdr:col>9</xdr:col>
      <xdr:colOff>455369</xdr:colOff>
      <xdr:row>1</xdr:row>
      <xdr:rowOff>3812</xdr:rowOff>
    </xdr:to>
    <xdr:sp macro="" textlink="">
      <xdr:nvSpPr>
        <xdr:cNvPr id="2" name="Text Box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476500" y="91440"/>
          <a:ext cx="8555429" cy="6057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algn="ctr">
            <a:lnSpc>
              <a:spcPts val="1500"/>
            </a:lnSpc>
          </a:pPr>
          <a:r>
            <a:rPr lang="pt-BR" sz="1700" b="1">
              <a:effectLst/>
              <a:latin typeface="+mn-lt"/>
              <a:ea typeface="+mn-ea"/>
              <a:cs typeface="+mn-cs"/>
            </a:rPr>
            <a:t>PREFEITURA MUNICIPAL DE SANTA CRUZ DO ESCALVADO</a:t>
          </a:r>
          <a:endParaRPr lang="pt-BR" sz="1700">
            <a:effectLst/>
            <a:latin typeface="+mn-lt"/>
            <a:ea typeface="+mn-ea"/>
            <a:cs typeface="+mn-cs"/>
          </a:endParaRPr>
        </a:p>
        <a:p>
          <a:pPr algn="ctr">
            <a:lnSpc>
              <a:spcPts val="1000"/>
            </a:lnSpc>
          </a:pPr>
          <a:r>
            <a:rPr lang="pt-BR" sz="1100" b="1">
              <a:effectLst/>
              <a:latin typeface="+mn-lt"/>
              <a:ea typeface="+mn-ea"/>
              <a:cs typeface="+mn-cs"/>
            </a:rPr>
            <a:t>            ESTADO DE MINAS GERAIS</a:t>
          </a:r>
          <a:endParaRPr lang="pt-BR" sz="1100">
            <a:effectLst/>
            <a:latin typeface="+mn-lt"/>
            <a:ea typeface="+mn-ea"/>
            <a:cs typeface="+mn-cs"/>
          </a:endParaRPr>
        </a:p>
        <a:p>
          <a:pPr algn="ctr">
            <a:lnSpc>
              <a:spcPts val="1100"/>
            </a:lnSpc>
          </a:pPr>
          <a:r>
            <a:rPr lang="pt-BR" sz="1100" b="1">
              <a:effectLst/>
              <a:latin typeface="+mn-lt"/>
              <a:ea typeface="+mn-ea"/>
              <a:cs typeface="+mn-cs"/>
            </a:rPr>
            <a:t>              Adm. 2025-2028</a:t>
          </a:r>
          <a:endParaRPr lang="pt-BR" sz="110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259080</xdr:colOff>
      <xdr:row>0</xdr:row>
      <xdr:rowOff>68580</xdr:rowOff>
    </xdr:from>
    <xdr:to>
      <xdr:col>1</xdr:col>
      <xdr:colOff>630555</xdr:colOff>
      <xdr:row>0</xdr:row>
      <xdr:rowOff>662940</xdr:rowOff>
    </xdr:to>
    <xdr:pic>
      <xdr:nvPicPr>
        <xdr:cNvPr id="8961" name="Imagem 2">
          <a:extLst>
            <a:ext uri="{FF2B5EF4-FFF2-40B4-BE49-F238E27FC236}">
              <a16:creationId xmlns:a16="http://schemas.microsoft.com/office/drawing/2014/main" id="{00000000-0008-0000-0000-00000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" y="68580"/>
          <a:ext cx="381000" cy="601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742949</xdr:colOff>
      <xdr:row>0</xdr:row>
      <xdr:rowOff>64768</xdr:rowOff>
    </xdr:from>
    <xdr:to>
      <xdr:col>4</xdr:col>
      <xdr:colOff>786838</xdr:colOff>
      <xdr:row>0</xdr:row>
      <xdr:rowOff>670560</xdr:rowOff>
    </xdr:to>
    <xdr:sp macro="" textlink="">
      <xdr:nvSpPr>
        <xdr:cNvPr id="4097" name="Text Box 6">
          <a:extLst>
            <a:ext uri="{FF2B5EF4-FFF2-40B4-BE49-F238E27FC236}">
              <a16:creationId xmlns:a16="http://schemas.microsoft.com/office/drawing/2014/main" id="{00000000-0008-0000-0100-000001100000}"/>
            </a:ext>
          </a:extLst>
        </xdr:cNvPr>
        <xdr:cNvSpPr txBox="1">
          <a:spLocks noChangeArrowheads="1"/>
        </xdr:cNvSpPr>
      </xdr:nvSpPr>
      <xdr:spPr bwMode="auto">
        <a:xfrm>
          <a:off x="2122169" y="64768"/>
          <a:ext cx="8197289" cy="6057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algn="ctr">
            <a:lnSpc>
              <a:spcPts val="1500"/>
            </a:lnSpc>
          </a:pPr>
          <a:r>
            <a:rPr lang="pt-BR" sz="1700" b="1">
              <a:effectLst/>
              <a:latin typeface="+mn-lt"/>
              <a:ea typeface="+mn-ea"/>
              <a:cs typeface="+mn-cs"/>
            </a:rPr>
            <a:t>PREFEITURA MUNICIPAL DE SANTA CRUZ DO ESCALVADO</a:t>
          </a:r>
          <a:endParaRPr lang="pt-BR" sz="1700">
            <a:effectLst/>
            <a:latin typeface="+mn-lt"/>
            <a:ea typeface="+mn-ea"/>
            <a:cs typeface="+mn-cs"/>
          </a:endParaRPr>
        </a:p>
        <a:p>
          <a:pPr algn="ctr">
            <a:lnSpc>
              <a:spcPts val="1000"/>
            </a:lnSpc>
          </a:pPr>
          <a:r>
            <a:rPr lang="pt-BR" sz="1100" b="1">
              <a:effectLst/>
              <a:latin typeface="+mn-lt"/>
              <a:ea typeface="+mn-ea"/>
              <a:cs typeface="+mn-cs"/>
            </a:rPr>
            <a:t>            ESTADO DE MINAS GERAIS</a:t>
          </a:r>
          <a:endParaRPr lang="pt-BR" sz="1100">
            <a:effectLst/>
            <a:latin typeface="+mn-lt"/>
            <a:ea typeface="+mn-ea"/>
            <a:cs typeface="+mn-cs"/>
          </a:endParaRPr>
        </a:p>
        <a:p>
          <a:pPr algn="ctr">
            <a:lnSpc>
              <a:spcPts val="1100"/>
            </a:lnSpc>
          </a:pPr>
          <a:r>
            <a:rPr lang="pt-BR" sz="1100" b="1">
              <a:effectLst/>
              <a:latin typeface="+mn-lt"/>
              <a:ea typeface="+mn-ea"/>
              <a:cs typeface="+mn-cs"/>
            </a:rPr>
            <a:t>              Adm. 2025-2028</a:t>
          </a:r>
          <a:endParaRPr lang="pt-BR" sz="110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266700</xdr:colOff>
      <xdr:row>0</xdr:row>
      <xdr:rowOff>53340</xdr:rowOff>
    </xdr:from>
    <xdr:to>
      <xdr:col>1</xdr:col>
      <xdr:colOff>647700</xdr:colOff>
      <xdr:row>0</xdr:row>
      <xdr:rowOff>662940</xdr:rowOff>
    </xdr:to>
    <xdr:pic>
      <xdr:nvPicPr>
        <xdr:cNvPr id="24693" name="Imagem 2">
          <a:extLst>
            <a:ext uri="{FF2B5EF4-FFF2-40B4-BE49-F238E27FC236}">
              <a16:creationId xmlns:a16="http://schemas.microsoft.com/office/drawing/2014/main" id="{00000000-0008-0000-0100-000075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380" y="53340"/>
          <a:ext cx="381000" cy="601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312420</xdr:colOff>
      <xdr:row>0</xdr:row>
      <xdr:rowOff>72390</xdr:rowOff>
    </xdr:from>
    <xdr:to>
      <xdr:col>13</xdr:col>
      <xdr:colOff>37849</xdr:colOff>
      <xdr:row>7</xdr:row>
      <xdr:rowOff>85725</xdr:rowOff>
    </xdr:to>
    <xdr:pic>
      <xdr:nvPicPr>
        <xdr:cNvPr id="24694" name="Imagem 2">
          <a:extLst>
            <a:ext uri="{FF2B5EF4-FFF2-40B4-BE49-F238E27FC236}">
              <a16:creationId xmlns:a16="http://schemas.microsoft.com/office/drawing/2014/main" id="{00000000-0008-0000-0100-000076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2080" y="72390"/>
          <a:ext cx="1843789" cy="1809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198121</xdr:colOff>
      <xdr:row>0</xdr:row>
      <xdr:rowOff>15240</xdr:rowOff>
    </xdr:from>
    <xdr:to>
      <xdr:col>11</xdr:col>
      <xdr:colOff>960121</xdr:colOff>
      <xdr:row>4</xdr:row>
      <xdr:rowOff>115400</xdr:rowOff>
    </xdr:to>
    <xdr:pic>
      <xdr:nvPicPr>
        <xdr:cNvPr id="24695" name="Imagem 2">
          <a:extLst>
            <a:ext uri="{FF2B5EF4-FFF2-40B4-BE49-F238E27FC236}">
              <a16:creationId xmlns:a16="http://schemas.microsoft.com/office/drawing/2014/main" id="{00000000-0008-0000-0100-000077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89281" y="15240"/>
          <a:ext cx="3581400" cy="1342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784860</xdr:colOff>
      <xdr:row>1</xdr:row>
      <xdr:rowOff>106680</xdr:rowOff>
    </xdr:from>
    <xdr:to>
      <xdr:col>8</xdr:col>
      <xdr:colOff>386789</xdr:colOff>
      <xdr:row>2</xdr:row>
      <xdr:rowOff>19052</xdr:rowOff>
    </xdr:to>
    <xdr:sp macro="" textlink="">
      <xdr:nvSpPr>
        <xdr:cNvPr id="2" name="Text Box 6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2217420" y="274320"/>
          <a:ext cx="8166809" cy="6057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algn="ctr">
            <a:lnSpc>
              <a:spcPts val="1500"/>
            </a:lnSpc>
          </a:pPr>
          <a:r>
            <a:rPr lang="pt-BR" sz="1700" b="1">
              <a:effectLst/>
              <a:latin typeface="+mn-lt"/>
              <a:ea typeface="+mn-ea"/>
              <a:cs typeface="+mn-cs"/>
            </a:rPr>
            <a:t>PREFEITURA MUNICIPAL DE SANTA CRUZ DO ESCALVADO</a:t>
          </a:r>
          <a:endParaRPr lang="pt-BR" sz="1700">
            <a:effectLst/>
            <a:latin typeface="+mn-lt"/>
            <a:ea typeface="+mn-ea"/>
            <a:cs typeface="+mn-cs"/>
          </a:endParaRPr>
        </a:p>
        <a:p>
          <a:pPr algn="ctr">
            <a:lnSpc>
              <a:spcPts val="1000"/>
            </a:lnSpc>
          </a:pPr>
          <a:r>
            <a:rPr lang="pt-BR" sz="1100" b="1">
              <a:effectLst/>
              <a:latin typeface="+mn-lt"/>
              <a:ea typeface="+mn-ea"/>
              <a:cs typeface="+mn-cs"/>
            </a:rPr>
            <a:t>            ESTADO DE MINAS GERAIS</a:t>
          </a:r>
          <a:endParaRPr lang="pt-BR" sz="1100">
            <a:effectLst/>
            <a:latin typeface="+mn-lt"/>
            <a:ea typeface="+mn-ea"/>
            <a:cs typeface="+mn-cs"/>
          </a:endParaRPr>
        </a:p>
        <a:p>
          <a:pPr algn="ctr">
            <a:lnSpc>
              <a:spcPts val="1100"/>
            </a:lnSpc>
          </a:pPr>
          <a:r>
            <a:rPr lang="pt-BR" sz="1100" b="1">
              <a:effectLst/>
              <a:latin typeface="+mn-lt"/>
              <a:ea typeface="+mn-ea"/>
              <a:cs typeface="+mn-cs"/>
            </a:rPr>
            <a:t>              Adm. 2025-2028</a:t>
          </a:r>
          <a:endParaRPr lang="pt-BR" sz="110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99060</xdr:colOff>
      <xdr:row>1</xdr:row>
      <xdr:rowOff>45720</xdr:rowOff>
    </xdr:from>
    <xdr:to>
      <xdr:col>1</xdr:col>
      <xdr:colOff>480060</xdr:colOff>
      <xdr:row>1</xdr:row>
      <xdr:rowOff>647700</xdr:rowOff>
    </xdr:to>
    <xdr:pic>
      <xdr:nvPicPr>
        <xdr:cNvPr id="26818" name="Imagem 2">
          <a:extLst>
            <a:ext uri="{FF2B5EF4-FFF2-40B4-BE49-F238E27FC236}">
              <a16:creationId xmlns:a16="http://schemas.microsoft.com/office/drawing/2014/main" id="{00000000-0008-0000-0200-0000C26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" y="213360"/>
          <a:ext cx="381000" cy="601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784860</xdr:colOff>
      <xdr:row>1</xdr:row>
      <xdr:rowOff>106680</xdr:rowOff>
    </xdr:from>
    <xdr:to>
      <xdr:col>8</xdr:col>
      <xdr:colOff>386789</xdr:colOff>
      <xdr:row>2</xdr:row>
      <xdr:rowOff>19052</xdr:rowOff>
    </xdr:to>
    <xdr:sp macro="" textlink="">
      <xdr:nvSpPr>
        <xdr:cNvPr id="2" name="Text Box 6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2217420" y="274320"/>
          <a:ext cx="7450529" cy="6057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algn="ctr">
            <a:lnSpc>
              <a:spcPts val="1500"/>
            </a:lnSpc>
          </a:pPr>
          <a:r>
            <a:rPr lang="pt-BR" sz="1700" b="1">
              <a:effectLst/>
              <a:latin typeface="+mn-lt"/>
              <a:ea typeface="+mn-ea"/>
              <a:cs typeface="+mn-cs"/>
            </a:rPr>
            <a:t>PREFEITURA MUNICIPAL DE SANTA CRUZ DO ESCALVADO</a:t>
          </a:r>
          <a:endParaRPr lang="pt-BR" sz="1700">
            <a:effectLst/>
            <a:latin typeface="+mn-lt"/>
            <a:ea typeface="+mn-ea"/>
            <a:cs typeface="+mn-cs"/>
          </a:endParaRPr>
        </a:p>
        <a:p>
          <a:pPr algn="ctr">
            <a:lnSpc>
              <a:spcPts val="1000"/>
            </a:lnSpc>
          </a:pPr>
          <a:r>
            <a:rPr lang="pt-BR" sz="1100" b="1">
              <a:effectLst/>
              <a:latin typeface="+mn-lt"/>
              <a:ea typeface="+mn-ea"/>
              <a:cs typeface="+mn-cs"/>
            </a:rPr>
            <a:t>            ESTADO DE MINAS GERAIS</a:t>
          </a:r>
          <a:endParaRPr lang="pt-BR" sz="1100">
            <a:effectLst/>
            <a:latin typeface="+mn-lt"/>
            <a:ea typeface="+mn-ea"/>
            <a:cs typeface="+mn-cs"/>
          </a:endParaRPr>
        </a:p>
        <a:p>
          <a:pPr algn="ctr">
            <a:lnSpc>
              <a:spcPts val="1100"/>
            </a:lnSpc>
          </a:pPr>
          <a:r>
            <a:rPr lang="pt-BR" sz="1100" b="1">
              <a:effectLst/>
              <a:latin typeface="+mn-lt"/>
              <a:ea typeface="+mn-ea"/>
              <a:cs typeface="+mn-cs"/>
            </a:rPr>
            <a:t>              Adm. 2025-2028</a:t>
          </a:r>
          <a:endParaRPr lang="pt-BR" sz="110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99060</xdr:colOff>
      <xdr:row>1</xdr:row>
      <xdr:rowOff>45720</xdr:rowOff>
    </xdr:from>
    <xdr:to>
      <xdr:col>1</xdr:col>
      <xdr:colOff>480060</xdr:colOff>
      <xdr:row>1</xdr:row>
      <xdr:rowOff>647700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" y="213360"/>
          <a:ext cx="381000" cy="601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</xdr:colOff>
      <xdr:row>0</xdr:row>
      <xdr:rowOff>0</xdr:rowOff>
    </xdr:from>
    <xdr:to>
      <xdr:col>1</xdr:col>
      <xdr:colOff>182880</xdr:colOff>
      <xdr:row>0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>
          <a:grpSpLocks noChangeAspect="1"/>
        </xdr:cNvGrpSpPr>
      </xdr:nvGrpSpPr>
      <xdr:grpSpPr bwMode="auto">
        <a:xfrm>
          <a:off x="60960" y="0"/>
          <a:ext cx="1036320" cy="0"/>
          <a:chOff x="1728" y="1296"/>
          <a:chExt cx="720" cy="720"/>
        </a:xfrm>
      </xdr:grpSpPr>
      <xdr:sp macro="" textlink="">
        <xdr:nvSpPr>
          <xdr:cNvPr id="3" name="Line 2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SpPr>
            <a:spLocks noChangeAspect="1" noChangeShapeType="1"/>
          </xdr:cNvSpPr>
        </xdr:nvSpPr>
        <xdr:spPr bwMode="auto">
          <a:xfrm flipV="1">
            <a:off x="1728" y="1440"/>
            <a:ext cx="0" cy="43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" name="Line 3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>
            <a:spLocks noChangeAspect="1" noChangeShapeType="1"/>
          </xdr:cNvSpPr>
        </xdr:nvSpPr>
        <xdr:spPr bwMode="auto">
          <a:xfrm flipV="1">
            <a:off x="1728" y="1296"/>
            <a:ext cx="144" cy="14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" name="Line 4">
            <a:extLst>
              <a:ext uri="{FF2B5EF4-FFF2-40B4-BE49-F238E27FC236}">
                <a16:creationId xmlns:a16="http://schemas.microsoft.com/office/drawing/2014/main" id="{00000000-0008-0000-0400-000005000000}"/>
              </a:ext>
            </a:extLst>
          </xdr:cNvPr>
          <xdr:cNvSpPr>
            <a:spLocks noChangeAspect="1" noChangeShapeType="1"/>
          </xdr:cNvSpPr>
        </xdr:nvSpPr>
        <xdr:spPr bwMode="auto">
          <a:xfrm>
            <a:off x="1728" y="1872"/>
            <a:ext cx="144" cy="14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" name="Line 5">
            <a:extLst>
              <a:ext uri="{FF2B5EF4-FFF2-40B4-BE49-F238E27FC236}">
                <a16:creationId xmlns:a16="http://schemas.microsoft.com/office/drawing/2014/main" id="{00000000-0008-0000-0400-000006000000}"/>
              </a:ext>
            </a:extLst>
          </xdr:cNvPr>
          <xdr:cNvSpPr>
            <a:spLocks noChangeAspect="1" noChangeShapeType="1"/>
          </xdr:cNvSpPr>
        </xdr:nvSpPr>
        <xdr:spPr bwMode="auto">
          <a:xfrm>
            <a:off x="1872" y="1296"/>
            <a:ext cx="576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" name="Line 6">
            <a:extLst>
              <a:ext uri="{FF2B5EF4-FFF2-40B4-BE49-F238E27FC236}">
                <a16:creationId xmlns:a16="http://schemas.microsoft.com/office/drawing/2014/main" id="{00000000-0008-0000-0400-000007000000}"/>
              </a:ext>
            </a:extLst>
          </xdr:cNvPr>
          <xdr:cNvSpPr>
            <a:spLocks noChangeAspect="1" noChangeShapeType="1"/>
          </xdr:cNvSpPr>
        </xdr:nvSpPr>
        <xdr:spPr bwMode="auto">
          <a:xfrm>
            <a:off x="1872" y="2016"/>
            <a:ext cx="576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121920</xdr:colOff>
      <xdr:row>0</xdr:row>
      <xdr:rowOff>0</xdr:rowOff>
    </xdr:from>
    <xdr:to>
      <xdr:col>1</xdr:col>
      <xdr:colOff>198120</xdr:colOff>
      <xdr:row>0</xdr:row>
      <xdr:rowOff>0</xdr:rowOff>
    </xdr:to>
    <xdr:pic>
      <xdr:nvPicPr>
        <xdr:cNvPr id="8" name="Picture 8" descr="brasao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" y="0"/>
          <a:ext cx="102108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1234441</xdr:colOff>
      <xdr:row>0</xdr:row>
      <xdr:rowOff>91440</xdr:rowOff>
    </xdr:from>
    <xdr:to>
      <xdr:col>8</xdr:col>
      <xdr:colOff>68581</xdr:colOff>
      <xdr:row>1</xdr:row>
      <xdr:rowOff>3812</xdr:rowOff>
    </xdr:to>
    <xdr:sp macro="" textlink="">
      <xdr:nvSpPr>
        <xdr:cNvPr id="9" name="Text Box 6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>
          <a:spLocks noChangeArrowheads="1"/>
        </xdr:cNvSpPr>
      </xdr:nvSpPr>
      <xdr:spPr bwMode="auto">
        <a:xfrm>
          <a:off x="1889761" y="91440"/>
          <a:ext cx="5737860" cy="6057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algn="ctr">
            <a:lnSpc>
              <a:spcPts val="1500"/>
            </a:lnSpc>
          </a:pPr>
          <a:r>
            <a:rPr lang="pt-BR" sz="1700" b="1">
              <a:effectLst/>
              <a:latin typeface="+mn-lt"/>
              <a:ea typeface="+mn-ea"/>
              <a:cs typeface="+mn-cs"/>
            </a:rPr>
            <a:t>PREFEITURA MUNICIPAL DE SANTA CRUZ DO ESCALVADO</a:t>
          </a:r>
          <a:endParaRPr lang="pt-BR" sz="1700">
            <a:effectLst/>
            <a:latin typeface="+mn-lt"/>
            <a:ea typeface="+mn-ea"/>
            <a:cs typeface="+mn-cs"/>
          </a:endParaRPr>
        </a:p>
        <a:p>
          <a:pPr algn="ctr">
            <a:lnSpc>
              <a:spcPts val="1000"/>
            </a:lnSpc>
          </a:pPr>
          <a:r>
            <a:rPr lang="pt-BR" sz="1100" b="1">
              <a:effectLst/>
              <a:latin typeface="+mn-lt"/>
              <a:ea typeface="+mn-ea"/>
              <a:cs typeface="+mn-cs"/>
            </a:rPr>
            <a:t>            ESTADO DE MINAS GERAIS</a:t>
          </a:r>
          <a:endParaRPr lang="pt-BR" sz="1100">
            <a:effectLst/>
            <a:latin typeface="+mn-lt"/>
            <a:ea typeface="+mn-ea"/>
            <a:cs typeface="+mn-cs"/>
          </a:endParaRPr>
        </a:p>
        <a:p>
          <a:pPr algn="ctr">
            <a:lnSpc>
              <a:spcPts val="1100"/>
            </a:lnSpc>
          </a:pPr>
          <a:r>
            <a:rPr lang="pt-BR" sz="1100" b="1">
              <a:effectLst/>
              <a:latin typeface="+mn-lt"/>
              <a:ea typeface="+mn-ea"/>
              <a:cs typeface="+mn-cs"/>
            </a:rPr>
            <a:t>              Adm. 2025-2028</a:t>
          </a:r>
          <a:endParaRPr lang="pt-BR" sz="110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182880</xdr:colOff>
      <xdr:row>0</xdr:row>
      <xdr:rowOff>60960</xdr:rowOff>
    </xdr:from>
    <xdr:to>
      <xdr:col>1</xdr:col>
      <xdr:colOff>563880</xdr:colOff>
      <xdr:row>0</xdr:row>
      <xdr:rowOff>662940</xdr:rowOff>
    </xdr:to>
    <xdr:pic>
      <xdr:nvPicPr>
        <xdr:cNvPr id="10" name="Imagem 2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" y="60960"/>
          <a:ext cx="381000" cy="601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50</xdr:row>
          <xdr:rowOff>57150</xdr:rowOff>
        </xdr:from>
        <xdr:to>
          <xdr:col>1</xdr:col>
          <xdr:colOff>542925</xdr:colOff>
          <xdr:row>52</xdr:row>
          <xdr:rowOff>123825</xdr:rowOff>
        </xdr:to>
        <xdr:sp macro="" textlink="">
          <xdr:nvSpPr>
            <xdr:cNvPr id="22529" name="Button 1" hidden="1">
              <a:extLst>
                <a:ext uri="{63B3BB69-23CF-44E3-9099-C40C66FF867C}">
                  <a14:compatExt spid="_x0000_s22529"/>
                </a:ext>
                <a:ext uri="{FF2B5EF4-FFF2-40B4-BE49-F238E27FC236}">
                  <a16:creationId xmlns:a16="http://schemas.microsoft.com/office/drawing/2014/main" id="{00000000-0008-0000-0400-000001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Importar foto</a:t>
              </a:r>
            </a:p>
          </xdr:txBody>
        </xdr:sp>
        <xdr:clientData fPrintsWithSheet="0"/>
      </xdr:twoCellAnchor>
    </mc:Choice>
    <mc:Fallback/>
  </mc:AlternateContent>
  <xdr:twoCellAnchor>
    <xdr:from>
      <xdr:col>0</xdr:col>
      <xdr:colOff>399627</xdr:colOff>
      <xdr:row>4</xdr:row>
      <xdr:rowOff>25400</xdr:rowOff>
    </xdr:from>
    <xdr:to>
      <xdr:col>3</xdr:col>
      <xdr:colOff>545254</xdr:colOff>
      <xdr:row>18</xdr:row>
      <xdr:rowOff>127000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9627" y="1244600"/>
          <a:ext cx="2980267" cy="2235200"/>
        </a:xfrm>
        <a:prstGeom prst="rect">
          <a:avLst/>
        </a:prstGeom>
      </xdr:spPr>
    </xdr:pic>
    <xdr:clientData/>
  </xdr:twoCellAnchor>
  <xdr:twoCellAnchor>
    <xdr:from>
      <xdr:col>4</xdr:col>
      <xdr:colOff>399626</xdr:colOff>
      <xdr:row>4</xdr:row>
      <xdr:rowOff>25400</xdr:rowOff>
    </xdr:from>
    <xdr:to>
      <xdr:col>7</xdr:col>
      <xdr:colOff>545253</xdr:colOff>
      <xdr:row>18</xdr:row>
      <xdr:rowOff>127000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79146" y="1244600"/>
          <a:ext cx="2980267" cy="2235200"/>
        </a:xfrm>
        <a:prstGeom prst="rect">
          <a:avLst/>
        </a:prstGeom>
      </xdr:spPr>
    </xdr:pic>
    <xdr:clientData/>
  </xdr:twoCellAnchor>
  <xdr:twoCellAnchor>
    <xdr:from>
      <xdr:col>8</xdr:col>
      <xdr:colOff>399626</xdr:colOff>
      <xdr:row>4</xdr:row>
      <xdr:rowOff>25400</xdr:rowOff>
    </xdr:from>
    <xdr:to>
      <xdr:col>11</xdr:col>
      <xdr:colOff>545253</xdr:colOff>
      <xdr:row>18</xdr:row>
      <xdr:rowOff>127000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8666" y="1244600"/>
          <a:ext cx="2980267" cy="2235200"/>
        </a:xfrm>
        <a:prstGeom prst="rect">
          <a:avLst/>
        </a:prstGeom>
      </xdr:spPr>
    </xdr:pic>
    <xdr:clientData/>
  </xdr:twoCellAnchor>
  <xdr:twoCellAnchor>
    <xdr:from>
      <xdr:col>0</xdr:col>
      <xdr:colOff>399627</xdr:colOff>
      <xdr:row>19</xdr:row>
      <xdr:rowOff>25400</xdr:rowOff>
    </xdr:from>
    <xdr:to>
      <xdr:col>3</xdr:col>
      <xdr:colOff>545254</xdr:colOff>
      <xdr:row>33</xdr:row>
      <xdr:rowOff>127000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9627" y="3530600"/>
          <a:ext cx="2980267" cy="2235200"/>
        </a:xfrm>
        <a:prstGeom prst="rect">
          <a:avLst/>
        </a:prstGeom>
      </xdr:spPr>
    </xdr:pic>
    <xdr:clientData/>
  </xdr:twoCellAnchor>
  <xdr:twoCellAnchor>
    <xdr:from>
      <xdr:col>4</xdr:col>
      <xdr:colOff>399626</xdr:colOff>
      <xdr:row>19</xdr:row>
      <xdr:rowOff>25400</xdr:rowOff>
    </xdr:from>
    <xdr:to>
      <xdr:col>7</xdr:col>
      <xdr:colOff>545253</xdr:colOff>
      <xdr:row>33</xdr:row>
      <xdr:rowOff>127000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79146" y="3530600"/>
          <a:ext cx="2980267" cy="2235200"/>
        </a:xfrm>
        <a:prstGeom prst="rect">
          <a:avLst/>
        </a:prstGeom>
      </xdr:spPr>
    </xdr:pic>
    <xdr:clientData/>
  </xdr:twoCellAnchor>
  <xdr:twoCellAnchor>
    <xdr:from>
      <xdr:col>8</xdr:col>
      <xdr:colOff>399626</xdr:colOff>
      <xdr:row>19</xdr:row>
      <xdr:rowOff>25400</xdr:rowOff>
    </xdr:from>
    <xdr:to>
      <xdr:col>11</xdr:col>
      <xdr:colOff>545253</xdr:colOff>
      <xdr:row>33</xdr:row>
      <xdr:rowOff>127000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8666" y="3530600"/>
          <a:ext cx="2980267" cy="2235200"/>
        </a:xfrm>
        <a:prstGeom prst="rect">
          <a:avLst/>
        </a:prstGeom>
      </xdr:spPr>
    </xdr:pic>
    <xdr:clientData/>
  </xdr:twoCellAnchor>
  <xdr:twoCellAnchor>
    <xdr:from>
      <xdr:col>0</xdr:col>
      <xdr:colOff>399627</xdr:colOff>
      <xdr:row>34</xdr:row>
      <xdr:rowOff>25400</xdr:rowOff>
    </xdr:from>
    <xdr:to>
      <xdr:col>3</xdr:col>
      <xdr:colOff>545254</xdr:colOff>
      <xdr:row>48</xdr:row>
      <xdr:rowOff>127000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9627" y="5816600"/>
          <a:ext cx="2980267" cy="2235200"/>
        </a:xfrm>
        <a:prstGeom prst="rect">
          <a:avLst/>
        </a:prstGeom>
      </xdr:spPr>
    </xdr:pic>
    <xdr:clientData/>
  </xdr:twoCellAnchor>
  <xdr:twoCellAnchor>
    <xdr:from>
      <xdr:col>4</xdr:col>
      <xdr:colOff>399626</xdr:colOff>
      <xdr:row>34</xdr:row>
      <xdr:rowOff>25400</xdr:rowOff>
    </xdr:from>
    <xdr:to>
      <xdr:col>7</xdr:col>
      <xdr:colOff>545253</xdr:colOff>
      <xdr:row>48</xdr:row>
      <xdr:rowOff>127000</xdr:rowOff>
    </xdr:to>
    <xdr:pic>
      <xdr:nvPicPr>
        <xdr:cNvPr id="27" name="Imagem 26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79146" y="5816600"/>
          <a:ext cx="2980267" cy="22352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411480</xdr:colOff>
      <xdr:row>28</xdr:row>
      <xdr:rowOff>30480</xdr:rowOff>
    </xdr:from>
    <xdr:to>
      <xdr:col>3</xdr:col>
      <xdr:colOff>15240</xdr:colOff>
      <xdr:row>31</xdr:row>
      <xdr:rowOff>0</xdr:rowOff>
    </xdr:to>
    <xdr:pic>
      <xdr:nvPicPr>
        <xdr:cNvPr id="22033" name="Picture 3">
          <a:extLst>
            <a:ext uri="{FF2B5EF4-FFF2-40B4-BE49-F238E27FC236}">
              <a16:creationId xmlns:a16="http://schemas.microsoft.com/office/drawing/2014/main" id="{00000000-0008-0000-0500-0000115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" y="8465820"/>
          <a:ext cx="4145280" cy="472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171450</xdr:colOff>
      <xdr:row>20</xdr:row>
      <xdr:rowOff>19050</xdr:rowOff>
    </xdr:from>
    <xdr:to>
      <xdr:col>14</xdr:col>
      <xdr:colOff>43766</xdr:colOff>
      <xdr:row>21</xdr:row>
      <xdr:rowOff>81672</xdr:rowOff>
    </xdr:to>
    <xdr:sp macro="" textlink="">
      <xdr:nvSpPr>
        <xdr:cNvPr id="3" name="AutoShape 2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Arrowheads="1"/>
        </xdr:cNvSpPr>
      </xdr:nvSpPr>
      <xdr:spPr bwMode="auto">
        <a:xfrm>
          <a:off x="7322820" y="5878830"/>
          <a:ext cx="5379671" cy="377363"/>
        </a:xfrm>
        <a:prstGeom prst="leftArrowCallout">
          <a:avLst>
            <a:gd name="adj1" fmla="val 25000"/>
            <a:gd name="adj2" fmla="val 25000"/>
            <a:gd name="adj3" fmla="val 205303"/>
            <a:gd name="adj4" fmla="val 66667"/>
          </a:avLst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1" i="0" u="none" strike="noStrike" baseline="0">
              <a:solidFill>
                <a:srgbClr val="FF9900"/>
              </a:solidFill>
              <a:latin typeface="Arial"/>
              <a:cs typeface="Arial"/>
            </a:rPr>
            <a:t>OS PERCENTUAIS DE ISS FORAM CALCULADOS CONSIDERANDO QUE A MÃO-DE-OBRA CORRESPONDE A BASE DE CÁLCULO DO PREÇO TOTAL DA OBRA DECLARADO PELO TOMADOR.</a:t>
          </a:r>
        </a:p>
      </xdr:txBody>
    </xdr:sp>
    <xdr:clientData/>
  </xdr:twoCellAnchor>
  <xdr:twoCellAnchor>
    <xdr:from>
      <xdr:col>5</xdr:col>
      <xdr:colOff>28575</xdr:colOff>
      <xdr:row>22</xdr:row>
      <xdr:rowOff>123825</xdr:rowOff>
    </xdr:from>
    <xdr:to>
      <xdr:col>13</xdr:col>
      <xdr:colOff>60935</xdr:colOff>
      <xdr:row>23</xdr:row>
      <xdr:rowOff>50584</xdr:rowOff>
    </xdr:to>
    <xdr:sp macro="" textlink="">
      <xdr:nvSpPr>
        <xdr:cNvPr id="4" name="AutoShape 25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>
          <a:spLocks noChangeArrowheads="1"/>
        </xdr:cNvSpPr>
      </xdr:nvSpPr>
      <xdr:spPr bwMode="auto">
        <a:xfrm>
          <a:off x="6930390" y="6800850"/>
          <a:ext cx="5265420" cy="381000"/>
        </a:xfrm>
        <a:prstGeom prst="leftArrowCallout">
          <a:avLst>
            <a:gd name="adj1" fmla="val 25000"/>
            <a:gd name="adj2" fmla="val 25000"/>
            <a:gd name="adj3" fmla="val 265686"/>
            <a:gd name="adj4" fmla="val 66667"/>
          </a:avLst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1" i="0" u="none" strike="noStrike" baseline="0">
              <a:solidFill>
                <a:srgbClr val="FF9900"/>
              </a:solidFill>
              <a:latin typeface="Arial"/>
              <a:cs typeface="Arial"/>
            </a:rPr>
            <a:t>O VALOR DO BDI SÓ É CALCULADO APÓS O PREENCHIMENTO DE TODAS AS CÉLULAS EM AMARELO!</a:t>
          </a:r>
        </a:p>
      </xdr:txBody>
    </xdr:sp>
    <xdr:clientData/>
  </xdr:twoCellAnchor>
  <xdr:twoCellAnchor>
    <xdr:from>
      <xdr:col>0</xdr:col>
      <xdr:colOff>19050</xdr:colOff>
      <xdr:row>0</xdr:row>
      <xdr:rowOff>20955</xdr:rowOff>
    </xdr:from>
    <xdr:to>
      <xdr:col>4</xdr:col>
      <xdr:colOff>1242060</xdr:colOff>
      <xdr:row>0</xdr:row>
      <xdr:rowOff>670560</xdr:rowOff>
    </xdr:to>
    <xdr:sp macro="" textlink="">
      <xdr:nvSpPr>
        <xdr:cNvPr id="5" name="AutoShape 27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>
          <a:spLocks noChangeArrowheads="1"/>
        </xdr:cNvSpPr>
      </xdr:nvSpPr>
      <xdr:spPr bwMode="auto">
        <a:xfrm>
          <a:off x="19050" y="20955"/>
          <a:ext cx="6823710" cy="649605"/>
        </a:xfrm>
        <a:prstGeom prst="roundRect">
          <a:avLst>
            <a:gd name="adj" fmla="val 16667"/>
          </a:avLst>
        </a:prstGeom>
        <a:solidFill>
          <a:srgbClr val="0000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en-US" sz="1600" b="0" i="0" u="none" strike="noStrike" baseline="0">
              <a:solidFill>
                <a:srgbClr val="FF9900"/>
              </a:solidFill>
              <a:latin typeface="Arial"/>
              <a:cs typeface="Arial"/>
            </a:rPr>
            <a:t>**********ALTERAR SOMENTE AS CÉLULAS AMARELAS***********</a:t>
          </a:r>
        </a:p>
        <a:p>
          <a:pPr algn="ctr" rtl="0">
            <a:defRPr sz="1000"/>
          </a:pPr>
          <a:r>
            <a:rPr lang="en-US" sz="1600" b="0" i="0" u="none" strike="noStrike" baseline="0">
              <a:solidFill>
                <a:srgbClr val="FF9900"/>
              </a:solidFill>
              <a:latin typeface="Arial"/>
              <a:cs typeface="Arial"/>
            </a:rPr>
            <a:t>(Atentar para as observações nos quadros na lateral direita!)</a:t>
          </a:r>
        </a:p>
      </xdr:txBody>
    </xdr:sp>
    <xdr:clientData/>
  </xdr:twoCellAnchor>
  <xdr:twoCellAnchor>
    <xdr:from>
      <xdr:col>7</xdr:col>
      <xdr:colOff>57150</xdr:colOff>
      <xdr:row>25</xdr:row>
      <xdr:rowOff>60960</xdr:rowOff>
    </xdr:from>
    <xdr:to>
      <xdr:col>13</xdr:col>
      <xdr:colOff>62877</xdr:colOff>
      <xdr:row>28</xdr:row>
      <xdr:rowOff>20513</xdr:rowOff>
    </xdr:to>
    <xdr:sp macro="" textlink="">
      <xdr:nvSpPr>
        <xdr:cNvPr id="6" name="AutoShape 30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>
          <a:spLocks/>
        </xdr:cNvSpPr>
      </xdr:nvSpPr>
      <xdr:spPr bwMode="auto">
        <a:xfrm>
          <a:off x="8385810" y="8012430"/>
          <a:ext cx="3813810" cy="468372"/>
        </a:xfrm>
        <a:prstGeom prst="borderCallout2">
          <a:avLst>
            <a:gd name="adj1" fmla="val 26088"/>
            <a:gd name="adj2" fmla="val -2046"/>
            <a:gd name="adj3" fmla="val 26088"/>
            <a:gd name="adj4" fmla="val -23019"/>
            <a:gd name="adj5" fmla="val -13042"/>
            <a:gd name="adj6" fmla="val -39898"/>
          </a:avLst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1" i="0" u="none" strike="noStrike" baseline="0">
              <a:solidFill>
                <a:srgbClr val="FF9900"/>
              </a:solidFill>
              <a:latin typeface="Arial"/>
              <a:cs typeface="Arial"/>
            </a:rPr>
            <a:t>SE O BDI CALCULADO ESTIVER NO INTERVALO DE LIMITES DO BDI ESTA CÉLULA INDICARÁ "OK", CASO CONTRÁRIO INDICARÁ "INADEQUADO" E OS COMPONENTES DO BDI DEVEM SER REDISTRIBUÍDOS ATÉ QUE TODAS OS LIMITANTES ACEITOS PELO TCU SEJAM ATENDIDOS!</a:t>
          </a:r>
        </a:p>
      </xdr:txBody>
    </xdr:sp>
    <xdr:clientData/>
  </xdr:twoCellAnchor>
  <xdr:twoCellAnchor>
    <xdr:from>
      <xdr:col>0</xdr:col>
      <xdr:colOff>0</xdr:colOff>
      <xdr:row>47</xdr:row>
      <xdr:rowOff>20955</xdr:rowOff>
    </xdr:from>
    <xdr:to>
      <xdr:col>4</xdr:col>
      <xdr:colOff>322492</xdr:colOff>
      <xdr:row>49</xdr:row>
      <xdr:rowOff>22461</xdr:rowOff>
    </xdr:to>
    <xdr:sp macro="" textlink="">
      <xdr:nvSpPr>
        <xdr:cNvPr id="7" name="AutoShape 31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>
          <a:spLocks noChangeArrowheads="1"/>
        </xdr:cNvSpPr>
      </xdr:nvSpPr>
      <xdr:spPr bwMode="auto">
        <a:xfrm>
          <a:off x="0" y="12477750"/>
          <a:ext cx="6595229" cy="537106"/>
        </a:xfrm>
        <a:prstGeom prst="roundRect">
          <a:avLst>
            <a:gd name="adj" fmla="val 16667"/>
          </a:avLst>
        </a:prstGeom>
        <a:solidFill>
          <a:srgbClr val="0000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1" i="0" u="none" strike="noStrike" baseline="0">
              <a:solidFill>
                <a:srgbClr val="FF9900"/>
              </a:solidFill>
              <a:latin typeface="Arial"/>
              <a:cs typeface="Arial"/>
            </a:rPr>
            <a:t>OBS:</a:t>
          </a:r>
        </a:p>
        <a:p>
          <a:pPr algn="l" rtl="0">
            <a:defRPr sz="1000"/>
          </a:pPr>
          <a:r>
            <a:rPr lang="en-US" sz="700" b="1" i="0" u="none" strike="noStrike" baseline="0">
              <a:solidFill>
                <a:srgbClr val="FF9900"/>
              </a:solidFill>
              <a:latin typeface="Arial"/>
              <a:cs typeface="Arial"/>
            </a:rPr>
            <a:t>(*) - PODE HAVER GARANTIA DESDE QUE PREVISTO NO EDITAL DA LICITAÇÃO E NO CONTRATO DE EXECUÇÃO.</a:t>
          </a:r>
        </a:p>
        <a:p>
          <a:pPr algn="l" rtl="0">
            <a:defRPr sz="1000"/>
          </a:pPr>
          <a:r>
            <a:rPr lang="en-US" sz="700" b="1" i="0" u="none" strike="noStrike" baseline="0">
              <a:solidFill>
                <a:srgbClr val="FF9900"/>
              </a:solidFill>
              <a:latin typeface="Arial"/>
              <a:cs typeface="Arial"/>
            </a:rPr>
            <a:t>(**) - PODEM SER ACEITOS OUTROS PERCENTUAIS DE ISS DESDE QUE DEVIDAMENTE EMBASADOS NA LEGISLAÇÃO MUNICIPAL.</a:t>
          </a:r>
        </a:p>
      </xdr:txBody>
    </xdr:sp>
    <xdr:clientData/>
  </xdr:twoCellAnchor>
  <xdr:twoCellAnchor>
    <xdr:from>
      <xdr:col>6</xdr:col>
      <xdr:colOff>91440</xdr:colOff>
      <xdr:row>12</xdr:row>
      <xdr:rowOff>89535</xdr:rowOff>
    </xdr:from>
    <xdr:to>
      <xdr:col>19</xdr:col>
      <xdr:colOff>110530</xdr:colOff>
      <xdr:row>19</xdr:row>
      <xdr:rowOff>30366</xdr:rowOff>
    </xdr:to>
    <xdr:sp macro="" textlink="">
      <xdr:nvSpPr>
        <xdr:cNvPr id="8" name="AutoShape 34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>
          <a:spLocks/>
        </xdr:cNvSpPr>
      </xdr:nvSpPr>
      <xdr:spPr bwMode="auto">
        <a:xfrm>
          <a:off x="7715250" y="4255770"/>
          <a:ext cx="8374387" cy="1535430"/>
        </a:xfrm>
        <a:prstGeom prst="borderCallout2">
          <a:avLst>
            <a:gd name="adj1" fmla="val 7546"/>
            <a:gd name="adj2" fmla="val -931"/>
            <a:gd name="adj3" fmla="val 7546"/>
            <a:gd name="adj4" fmla="val -4528"/>
            <a:gd name="adj5" fmla="val -52199"/>
            <a:gd name="adj6" fmla="val -8245"/>
          </a:avLst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1" i="0" u="none" strike="noStrike" baseline="0">
              <a:solidFill>
                <a:srgbClr val="FF9900"/>
              </a:solidFill>
              <a:latin typeface="Arial"/>
              <a:cs typeface="Arial"/>
            </a:rPr>
            <a:t>Foi publicada, em 19 de julho de 2013, a Lei n° 12.844/2013 que altera os artigos 7º, 8º, 9º e o Anexo I da Lei n° 12.546/2011 e o artigo 14, da Lei n° 11.774/2008, alterando os setores a serem beneficiados com o regime de desoneração da folha de pagamentos que substitui a contribuição previdenciária patronal de 20%, sobre o total da folha de pagamento pela contribuição previdenciária sobre a receita bruta.</a:t>
          </a:r>
        </a:p>
        <a:p>
          <a:pPr algn="l" rtl="0">
            <a:defRPr sz="1000"/>
          </a:pPr>
          <a:r>
            <a:rPr lang="en-US" sz="600" b="1" i="0" u="none" strike="noStrike" baseline="0">
              <a:solidFill>
                <a:srgbClr val="FF9900"/>
              </a:solidFill>
              <a:latin typeface="Arial"/>
              <a:cs typeface="Arial"/>
            </a:rPr>
            <a:t>Com essa alteração os setores a seguir ficam sujeitos ao recolhimento da contribuição previdenciária à alíquota de 2% sobre o valor da receita bruta.</a:t>
          </a:r>
        </a:p>
        <a:p>
          <a:pPr algn="l" rtl="0">
            <a:defRPr sz="1000"/>
          </a:pPr>
          <a:r>
            <a:rPr lang="en-US" sz="600" b="1" i="0" u="none" strike="noStrike" baseline="0">
              <a:solidFill>
                <a:srgbClr val="FF9900"/>
              </a:solidFill>
              <a:latin typeface="Arial"/>
              <a:cs typeface="Arial"/>
            </a:rPr>
            <a:t>=&gt;Construção Civil, enquadrados nos seguintes grupos da CNAE 2.0: </a:t>
          </a:r>
        </a:p>
        <a:p>
          <a:pPr algn="l" rtl="0">
            <a:defRPr sz="1000"/>
          </a:pPr>
          <a:r>
            <a:rPr lang="en-US" sz="600" b="1" i="0" u="none" strike="noStrike" baseline="0">
              <a:solidFill>
                <a:srgbClr val="FF9900"/>
              </a:solidFill>
              <a:latin typeface="Arial"/>
              <a:cs typeface="Arial"/>
            </a:rPr>
            <a:t>- 412 – Construção de Edifícios;</a:t>
          </a:r>
        </a:p>
        <a:p>
          <a:pPr algn="l" rtl="0">
            <a:defRPr sz="1000"/>
          </a:pPr>
          <a:r>
            <a:rPr lang="en-US" sz="600" b="1" i="0" u="none" strike="noStrike" baseline="0">
              <a:solidFill>
                <a:srgbClr val="FF9900"/>
              </a:solidFill>
              <a:latin typeface="Arial"/>
              <a:cs typeface="Arial"/>
            </a:rPr>
            <a:t>- 432 – Instalações Elétricas, Hidráulicas e Outras Instalações em Construções;</a:t>
          </a:r>
        </a:p>
        <a:p>
          <a:pPr algn="l" rtl="0">
            <a:defRPr sz="1000"/>
          </a:pPr>
          <a:r>
            <a:rPr lang="en-US" sz="600" b="1" i="0" u="none" strike="noStrike" baseline="0">
              <a:solidFill>
                <a:srgbClr val="FF9900"/>
              </a:solidFill>
              <a:latin typeface="Arial"/>
              <a:cs typeface="Arial"/>
            </a:rPr>
            <a:t>- 433 – Obras de Acabamento;</a:t>
          </a:r>
        </a:p>
        <a:p>
          <a:pPr algn="l" rtl="0">
            <a:defRPr sz="1000"/>
          </a:pPr>
          <a:r>
            <a:rPr lang="en-US" sz="600" b="1" i="0" u="none" strike="noStrike" baseline="0">
              <a:solidFill>
                <a:srgbClr val="FF9900"/>
              </a:solidFill>
              <a:latin typeface="Arial"/>
              <a:cs typeface="Arial"/>
            </a:rPr>
            <a:t>- 439 – Outros Serviços Especializados para Construção (4391-6 – Obras de Fundações e 4399-1 – Serviços Especializados para Construção não especificados anteriormente).</a:t>
          </a:r>
        </a:p>
        <a:p>
          <a:pPr algn="l" rtl="0">
            <a:defRPr sz="1000"/>
          </a:pPr>
          <a:r>
            <a:rPr lang="en-US" sz="600" b="1" i="0" u="none" strike="noStrike" baseline="0">
              <a:solidFill>
                <a:srgbClr val="FF9900"/>
              </a:solidFill>
              <a:latin typeface="Arial"/>
              <a:cs typeface="Arial"/>
            </a:rPr>
            <a:t>=&gt;Construção de Obras de Infraestrutura, enquadrados nos seguintes grupos da CNAE 2.0:</a:t>
          </a:r>
        </a:p>
        <a:p>
          <a:pPr algn="l" rtl="0">
            <a:defRPr sz="1000"/>
          </a:pPr>
          <a:r>
            <a:rPr lang="en-US" sz="600" b="1" i="0" u="none" strike="noStrike" baseline="0">
              <a:solidFill>
                <a:srgbClr val="FF9900"/>
              </a:solidFill>
              <a:latin typeface="Arial"/>
              <a:cs typeface="Arial"/>
            </a:rPr>
            <a:t>- 421 – Construção de Rodovias, Ferrovias, Obras Urbanas e Obras-de-Arte Especiais;</a:t>
          </a:r>
        </a:p>
        <a:p>
          <a:pPr algn="l" rtl="0">
            <a:defRPr sz="1000"/>
          </a:pPr>
          <a:r>
            <a:rPr lang="en-US" sz="600" b="1" i="0" u="none" strike="noStrike" baseline="0">
              <a:solidFill>
                <a:srgbClr val="FF9900"/>
              </a:solidFill>
              <a:latin typeface="Arial"/>
              <a:cs typeface="Arial"/>
            </a:rPr>
            <a:t>- 422 – Obras de Infra-Estrutura para Energia Elétrica, Telecomunicações, Água, Esgoto e Transporte Por Dutos;</a:t>
          </a:r>
        </a:p>
        <a:p>
          <a:pPr algn="l" rtl="0">
            <a:defRPr sz="1000"/>
          </a:pPr>
          <a:r>
            <a:rPr lang="en-US" sz="600" b="1" i="0" u="none" strike="noStrike" baseline="0">
              <a:solidFill>
                <a:srgbClr val="FF9900"/>
              </a:solidFill>
              <a:latin typeface="Arial"/>
              <a:cs typeface="Arial"/>
            </a:rPr>
            <a:t>- 429 – Construção de Outras Obras de Infra-Estrutura;</a:t>
          </a:r>
        </a:p>
        <a:p>
          <a:pPr algn="l" rtl="0">
            <a:defRPr sz="1000"/>
          </a:pPr>
          <a:r>
            <a:rPr lang="en-US" sz="600" b="1" i="0" u="none" strike="noStrike" baseline="0">
              <a:solidFill>
                <a:srgbClr val="FF9900"/>
              </a:solidFill>
              <a:latin typeface="Arial"/>
              <a:cs typeface="Arial"/>
            </a:rPr>
            <a:t>- 431 – Demolição e Preparação do Terreno</a:t>
          </a:r>
        </a:p>
      </xdr:txBody>
    </xdr:sp>
    <xdr:clientData/>
  </xdr:twoCellAnchor>
  <xdr:twoCellAnchor>
    <xdr:from>
      <xdr:col>6</xdr:col>
      <xdr:colOff>121920</xdr:colOff>
      <xdr:row>0</xdr:row>
      <xdr:rowOff>28575</xdr:rowOff>
    </xdr:from>
    <xdr:to>
      <xdr:col>20</xdr:col>
      <xdr:colOff>47695</xdr:colOff>
      <xdr:row>12</xdr:row>
      <xdr:rowOff>49586</xdr:rowOff>
    </xdr:to>
    <xdr:sp macro="" textlink="">
      <xdr:nvSpPr>
        <xdr:cNvPr id="9" name="AutoShape 35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>
          <a:spLocks/>
        </xdr:cNvSpPr>
      </xdr:nvSpPr>
      <xdr:spPr bwMode="auto">
        <a:xfrm>
          <a:off x="7837170" y="95250"/>
          <a:ext cx="8667738" cy="4103363"/>
        </a:xfrm>
        <a:prstGeom prst="borderCallout2">
          <a:avLst>
            <a:gd name="adj1" fmla="val 3380"/>
            <a:gd name="adj2" fmla="val -907"/>
            <a:gd name="adj3" fmla="val 3380"/>
            <a:gd name="adj4" fmla="val -3514"/>
            <a:gd name="adj5" fmla="val 56056"/>
            <a:gd name="adj6" fmla="val -5667"/>
          </a:avLst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1" i="0" u="none" strike="noStrike" baseline="0">
              <a:solidFill>
                <a:srgbClr val="FF9900"/>
              </a:solidFill>
              <a:latin typeface="Arial"/>
              <a:cs typeface="Arial"/>
            </a:rPr>
            <a:t>=&gt; Para o tipo de obra “</a:t>
          </a:r>
          <a:r>
            <a:rPr lang="en-US" sz="600" b="1" i="0" u="sng" strike="noStrike" baseline="0">
              <a:solidFill>
                <a:srgbClr val="FF9900"/>
              </a:solidFill>
              <a:latin typeface="Arial"/>
              <a:cs typeface="Arial"/>
            </a:rPr>
            <a:t>Construção de Edifícios</a:t>
          </a:r>
          <a:r>
            <a:rPr lang="en-US" sz="600" b="1" i="0" u="none" strike="noStrike" baseline="0">
              <a:solidFill>
                <a:srgbClr val="FF9900"/>
              </a:solidFill>
              <a:latin typeface="Arial"/>
              <a:cs typeface="Arial"/>
            </a:rPr>
            <a:t>” enquadram-se: a construção e reforma de: edifícios, unidades habitacionais, escolas, hospitais, hotéis, restaurantes, armazéns e depósitos, edifícios para uso agropecuário, estações para trens e metropolitanos, estádios esportivos e quadras cobertas, instalações para embarque e desembarque de passageiros (em aeroportos, rodoviárias, portos, etc.), penitenciárias e presídios, a construção de edifícios industriais (fábricas, oficinas, galpões industriais, etc.), conforme classificação 4120-4 do CNAE 2.0. Também enquadram-se pórticos, mirantes e outros edifícios de finalidade turística.</a:t>
          </a:r>
        </a:p>
        <a:p>
          <a:pPr algn="l" rtl="0">
            <a:defRPr sz="1000"/>
          </a:pPr>
          <a:endParaRPr lang="en-US" sz="600" b="1" i="0" u="none" strike="noStrike" baseline="0">
            <a:solidFill>
              <a:srgbClr val="FF99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600" b="1" i="0" u="none" strike="noStrike" baseline="0">
              <a:solidFill>
                <a:srgbClr val="FF9900"/>
              </a:solidFill>
              <a:latin typeface="Arial"/>
              <a:cs typeface="Arial"/>
            </a:rPr>
            <a:t>=&gt; Para o tipo de obra “</a:t>
          </a:r>
          <a:r>
            <a:rPr lang="en-US" sz="600" b="1" i="0" u="sng" strike="noStrike" baseline="0">
              <a:solidFill>
                <a:srgbClr val="FF9900"/>
              </a:solidFill>
              <a:latin typeface="Arial"/>
              <a:cs typeface="Arial"/>
            </a:rPr>
            <a:t>Construção de Rodovias e Ferrovias</a:t>
          </a:r>
          <a:r>
            <a:rPr lang="en-US" sz="600" b="1" i="0" u="none" strike="noStrike" baseline="0">
              <a:solidFill>
                <a:srgbClr val="FF9900"/>
              </a:solidFill>
              <a:latin typeface="Arial"/>
              <a:cs typeface="Arial"/>
            </a:rPr>
            <a:t>” enquadram-se: a construção e recuperação de: auto-estradas, rodovias e outras vias não-urbanas para passagem de veículos, vias férreas de superfície ou subterrâneas (inclusive para metropolitanos), pistas de aeroportos. Esta classe compreende também: a pavimentação de auto-estradas, rodovias e outras vias não-urbanas; construção de pontes, viadutos e túneis; a instalação de barreiras acústicas; a construção de praças de pedágio; a sinalização com pintura em rodovias e aeroportos; a instalação de placas de sinalização de tráfego e semelhantes, conforme classificação 4211-1 do CNAE 2.0. Também enquadram-se a construção, pavimentação e sinalização de vias urbanas, ruas e locais para estacionamento de veículos; a construção de praças e calçadas para pedestres; elevados, passarelas e ciclovias; metrô e VLT.</a:t>
          </a:r>
        </a:p>
        <a:p>
          <a:pPr algn="l" rtl="0">
            <a:defRPr sz="1000"/>
          </a:pPr>
          <a:endParaRPr lang="en-US" sz="600" b="1" i="0" u="none" strike="noStrike" baseline="0">
            <a:solidFill>
              <a:srgbClr val="FF99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600" b="1" i="0" u="none" strike="noStrike" baseline="0">
              <a:solidFill>
                <a:srgbClr val="FF9900"/>
              </a:solidFill>
              <a:latin typeface="Arial"/>
              <a:cs typeface="Arial"/>
            </a:rPr>
            <a:t>=&gt; Para o tipo de obra “</a:t>
          </a:r>
          <a:r>
            <a:rPr lang="en-US" sz="600" b="1" i="0" u="sng" strike="noStrike" baseline="0">
              <a:solidFill>
                <a:srgbClr val="FF9900"/>
              </a:solidFill>
              <a:latin typeface="Arial"/>
              <a:cs typeface="Arial"/>
            </a:rPr>
            <a:t>Construção de Redes de Abastecimento de Água, Coleta de Esgoto e Construções Correlatas</a:t>
          </a:r>
          <a:r>
            <a:rPr lang="en-US" sz="600" b="1" i="0" u="none" strike="noStrike" baseline="0">
              <a:solidFill>
                <a:srgbClr val="FF9900"/>
              </a:solidFill>
              <a:latin typeface="Arial"/>
              <a:cs typeface="Arial"/>
            </a:rPr>
            <a:t>” enquadram-se: a construção de sistemas para o abastecimento de água tratada: reservatórios de distribuição, estações elevatórias de bombeamento, linhas principais de adução de longa e média distância e redes de distribuição de água; a construção de redes de coleta de esgoto, inclusive de interceptores, estações de tratamento de esgoto (ETE), estações de bombeamento de esgoto (EBE); a construção de galerias pluviais (obras de micro e macro drenagem). Esta classe compreende também: as obras de irrigação (canais); a manutenção de redes de abastecimento de água tratada; a manutenção de redes de coleta e de sistemas de tratamento de esgoto, conforme classificação 4222-7 do CNAE 2.0. Enquadra-se ainda a construção de estações de tratamento de água (ETA).</a:t>
          </a:r>
        </a:p>
        <a:p>
          <a:pPr algn="l" rtl="0">
            <a:defRPr sz="1000"/>
          </a:pPr>
          <a:endParaRPr lang="en-US" sz="600" b="1" i="0" u="none" strike="noStrike" baseline="0">
            <a:solidFill>
              <a:srgbClr val="FF99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600" b="1" i="0" u="none" strike="noStrike" baseline="0">
              <a:solidFill>
                <a:srgbClr val="FF9900"/>
              </a:solidFill>
              <a:latin typeface="Arial"/>
              <a:cs typeface="Arial"/>
            </a:rPr>
            <a:t>=&gt; Para o tipo de obra “</a:t>
          </a:r>
          <a:r>
            <a:rPr lang="en-US" sz="600" b="1" i="0" u="sng" strike="noStrike" baseline="0">
              <a:solidFill>
                <a:srgbClr val="FF9900"/>
              </a:solidFill>
              <a:latin typeface="Arial"/>
              <a:cs typeface="Arial"/>
            </a:rPr>
            <a:t>Construção e Manutenção de Estações e Redes de Distribuição de Energia Elétrica</a:t>
          </a:r>
          <a:r>
            <a:rPr lang="en-US" sz="600" b="1" i="0" u="none" strike="noStrike" baseline="0">
              <a:solidFill>
                <a:srgbClr val="FF9900"/>
              </a:solidFill>
              <a:latin typeface="Arial"/>
              <a:cs typeface="Arial"/>
            </a:rPr>
            <a:t>” enquadram-se: a construção de usinas, estações e subestações hidrelétricas, eólicas, nucleares, termoelétricas; a construção de redes de transmissão e distribuição de energia elétrica, inclusive o serviço de eletrificação rural. Esta subclasse compreende também: a construção de redes de eletrificação para ferrovias e metropolitano, conforme classificação 4221-9/02 do CNAE 2.0. Compreende ainda: a manutenção de redes de distribuição de energia elétrica, quando executada por empresa não-produtora ou distribuidora de energia elétrica, conforme classificação 4221-9/03 do CNAE 2.0. Enquadram-se também obras de iluminação pública e a construção de barragens e represas para geração de energia elétrica.</a:t>
          </a:r>
        </a:p>
        <a:p>
          <a:pPr algn="l" rtl="0">
            <a:defRPr sz="1000"/>
          </a:pPr>
          <a:endParaRPr lang="en-US" sz="600" b="1" i="0" u="none" strike="noStrike" baseline="0">
            <a:solidFill>
              <a:srgbClr val="FF99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600" b="1" i="0" u="none" strike="noStrike" baseline="0">
              <a:solidFill>
                <a:srgbClr val="FF9900"/>
              </a:solidFill>
              <a:latin typeface="Arial"/>
              <a:cs typeface="Arial"/>
            </a:rPr>
            <a:t>=&gt; Para o tipo de obra “</a:t>
          </a:r>
          <a:r>
            <a:rPr lang="en-US" sz="600" b="1" i="0" u="sng" strike="noStrike" baseline="0">
              <a:solidFill>
                <a:srgbClr val="FF9900"/>
              </a:solidFill>
              <a:latin typeface="Arial"/>
              <a:cs typeface="Arial"/>
            </a:rPr>
            <a:t>Portuárias, Marítimas e Fluviais</a:t>
          </a:r>
          <a:r>
            <a:rPr lang="en-US" sz="600" b="1" i="0" u="none" strike="noStrike" baseline="0">
              <a:solidFill>
                <a:srgbClr val="FF9900"/>
              </a:solidFill>
              <a:latin typeface="Arial"/>
              <a:cs typeface="Arial"/>
            </a:rPr>
            <a:t>” enquadram-se: as obras marítimas e fluviais, tais como, construção de instalações portuárias; construção de portos e marinas; construção de eclusas e canais de navegação (vias navegáveis); enrocamentos; obras de dragagem; aterro hidráulico; barragens, represas e diques, exceto para energia elétrica; a construção de emissários submarinos; a instalação de cabos submarinos, conforme classificação 4291-0 do CNAE 2.0. Enquadram-se também a construção de piers e outras obras com influência direta de cursos d’água. 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144780</xdr:colOff>
      <xdr:row>0</xdr:row>
      <xdr:rowOff>106680</xdr:rowOff>
    </xdr:from>
    <xdr:to>
      <xdr:col>3</xdr:col>
      <xdr:colOff>203909</xdr:colOff>
      <xdr:row>0</xdr:row>
      <xdr:rowOff>712472</xdr:rowOff>
    </xdr:to>
    <xdr:sp macro="" textlink="">
      <xdr:nvSpPr>
        <xdr:cNvPr id="4" name="Text Box 6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144780" y="106680"/>
          <a:ext cx="8197289" cy="6057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algn="ctr">
            <a:lnSpc>
              <a:spcPts val="1500"/>
            </a:lnSpc>
          </a:pPr>
          <a:r>
            <a:rPr lang="pt-BR" sz="1700" b="1">
              <a:effectLst/>
              <a:latin typeface="+mn-lt"/>
              <a:ea typeface="+mn-ea"/>
              <a:cs typeface="+mn-cs"/>
            </a:rPr>
            <a:t>PREFEITURA MUNICIPAL DE SANTA CRUZ DO ESCALVADO</a:t>
          </a:r>
          <a:endParaRPr lang="pt-BR" sz="1700">
            <a:effectLst/>
            <a:latin typeface="+mn-lt"/>
            <a:ea typeface="+mn-ea"/>
            <a:cs typeface="+mn-cs"/>
          </a:endParaRPr>
        </a:p>
        <a:p>
          <a:pPr algn="ctr">
            <a:lnSpc>
              <a:spcPts val="1000"/>
            </a:lnSpc>
          </a:pPr>
          <a:r>
            <a:rPr lang="pt-BR" sz="1100" b="1">
              <a:effectLst/>
              <a:latin typeface="+mn-lt"/>
              <a:ea typeface="+mn-ea"/>
              <a:cs typeface="+mn-cs"/>
            </a:rPr>
            <a:t>            ESTADO DE MINAS GERAIS</a:t>
          </a:r>
          <a:endParaRPr lang="pt-BR" sz="1100">
            <a:effectLst/>
            <a:latin typeface="+mn-lt"/>
            <a:ea typeface="+mn-ea"/>
            <a:cs typeface="+mn-cs"/>
          </a:endParaRPr>
        </a:p>
        <a:p>
          <a:pPr algn="ctr">
            <a:lnSpc>
              <a:spcPts val="1100"/>
            </a:lnSpc>
          </a:pPr>
          <a:r>
            <a:rPr lang="pt-BR" sz="1100" b="1">
              <a:effectLst/>
              <a:latin typeface="+mn-lt"/>
              <a:ea typeface="+mn-ea"/>
              <a:cs typeface="+mn-cs"/>
            </a:rPr>
            <a:t>              Adm. 2025-2028</a:t>
          </a:r>
          <a:endParaRPr lang="pt-BR" sz="110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304800</xdr:colOff>
      <xdr:row>0</xdr:row>
      <xdr:rowOff>68580</xdr:rowOff>
    </xdr:from>
    <xdr:to>
      <xdr:col>2</xdr:col>
      <xdr:colOff>198120</xdr:colOff>
      <xdr:row>0</xdr:row>
      <xdr:rowOff>670560</xdr:rowOff>
    </xdr:to>
    <xdr:pic>
      <xdr:nvPicPr>
        <xdr:cNvPr id="5" name="Imagem 2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68580"/>
          <a:ext cx="381000" cy="601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</xdr:colOff>
      <xdr:row>0</xdr:row>
      <xdr:rowOff>0</xdr:rowOff>
    </xdr:from>
    <xdr:to>
      <xdr:col>1</xdr:col>
      <xdr:colOff>182880</xdr:colOff>
      <xdr:row>0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pSpPr>
          <a:grpSpLocks noChangeAspect="1"/>
        </xdr:cNvGrpSpPr>
      </xdr:nvGrpSpPr>
      <xdr:grpSpPr bwMode="auto">
        <a:xfrm>
          <a:off x="60960" y="0"/>
          <a:ext cx="1036320" cy="0"/>
          <a:chOff x="1728" y="1296"/>
          <a:chExt cx="720" cy="720"/>
        </a:xfrm>
      </xdr:grpSpPr>
      <xdr:sp macro="" textlink="">
        <xdr:nvSpPr>
          <xdr:cNvPr id="3" name="Line 2">
            <a:extLst>
              <a:ext uri="{FF2B5EF4-FFF2-40B4-BE49-F238E27FC236}">
                <a16:creationId xmlns:a16="http://schemas.microsoft.com/office/drawing/2014/main" id="{00000000-0008-0000-0800-000003000000}"/>
              </a:ext>
            </a:extLst>
          </xdr:cNvPr>
          <xdr:cNvSpPr>
            <a:spLocks noChangeAspect="1" noChangeShapeType="1"/>
          </xdr:cNvSpPr>
        </xdr:nvSpPr>
        <xdr:spPr bwMode="auto">
          <a:xfrm flipV="1">
            <a:off x="1728" y="1440"/>
            <a:ext cx="0" cy="43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" name="Line 3">
            <a:extLst>
              <a:ext uri="{FF2B5EF4-FFF2-40B4-BE49-F238E27FC236}">
                <a16:creationId xmlns:a16="http://schemas.microsoft.com/office/drawing/2014/main" id="{00000000-0008-0000-0800-000004000000}"/>
              </a:ext>
            </a:extLst>
          </xdr:cNvPr>
          <xdr:cNvSpPr>
            <a:spLocks noChangeAspect="1" noChangeShapeType="1"/>
          </xdr:cNvSpPr>
        </xdr:nvSpPr>
        <xdr:spPr bwMode="auto">
          <a:xfrm flipV="1">
            <a:off x="1728" y="1296"/>
            <a:ext cx="144" cy="14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" name="Line 4">
            <a:extLst>
              <a:ext uri="{FF2B5EF4-FFF2-40B4-BE49-F238E27FC236}">
                <a16:creationId xmlns:a16="http://schemas.microsoft.com/office/drawing/2014/main" id="{00000000-0008-0000-0800-000005000000}"/>
              </a:ext>
            </a:extLst>
          </xdr:cNvPr>
          <xdr:cNvSpPr>
            <a:spLocks noChangeAspect="1" noChangeShapeType="1"/>
          </xdr:cNvSpPr>
        </xdr:nvSpPr>
        <xdr:spPr bwMode="auto">
          <a:xfrm>
            <a:off x="1728" y="1872"/>
            <a:ext cx="144" cy="14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" name="Line 5">
            <a:extLst>
              <a:ext uri="{FF2B5EF4-FFF2-40B4-BE49-F238E27FC236}">
                <a16:creationId xmlns:a16="http://schemas.microsoft.com/office/drawing/2014/main" id="{00000000-0008-0000-0800-000006000000}"/>
              </a:ext>
            </a:extLst>
          </xdr:cNvPr>
          <xdr:cNvSpPr>
            <a:spLocks noChangeAspect="1" noChangeShapeType="1"/>
          </xdr:cNvSpPr>
        </xdr:nvSpPr>
        <xdr:spPr bwMode="auto">
          <a:xfrm>
            <a:off x="1872" y="1296"/>
            <a:ext cx="576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" name="Line 6">
            <a:extLst>
              <a:ext uri="{FF2B5EF4-FFF2-40B4-BE49-F238E27FC236}">
                <a16:creationId xmlns:a16="http://schemas.microsoft.com/office/drawing/2014/main" id="{00000000-0008-0000-0800-000007000000}"/>
              </a:ext>
            </a:extLst>
          </xdr:cNvPr>
          <xdr:cNvSpPr>
            <a:spLocks noChangeAspect="1" noChangeShapeType="1"/>
          </xdr:cNvSpPr>
        </xdr:nvSpPr>
        <xdr:spPr bwMode="auto">
          <a:xfrm>
            <a:off x="1872" y="2016"/>
            <a:ext cx="576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121920</xdr:colOff>
      <xdr:row>0</xdr:row>
      <xdr:rowOff>0</xdr:rowOff>
    </xdr:from>
    <xdr:to>
      <xdr:col>1</xdr:col>
      <xdr:colOff>198120</xdr:colOff>
      <xdr:row>0</xdr:row>
      <xdr:rowOff>0</xdr:rowOff>
    </xdr:to>
    <xdr:pic>
      <xdr:nvPicPr>
        <xdr:cNvPr id="9" name="Picture 8" descr="brasao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514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1234441</xdr:colOff>
      <xdr:row>0</xdr:row>
      <xdr:rowOff>91440</xdr:rowOff>
    </xdr:from>
    <xdr:to>
      <xdr:col>8</xdr:col>
      <xdr:colOff>68581</xdr:colOff>
      <xdr:row>1</xdr:row>
      <xdr:rowOff>3812</xdr:rowOff>
    </xdr:to>
    <xdr:sp macro="" textlink="">
      <xdr:nvSpPr>
        <xdr:cNvPr id="11" name="Text Box 6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 txBox="1">
          <a:spLocks noChangeArrowheads="1"/>
        </xdr:cNvSpPr>
      </xdr:nvSpPr>
      <xdr:spPr bwMode="auto">
        <a:xfrm>
          <a:off x="2659381" y="91440"/>
          <a:ext cx="5958840" cy="6057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algn="ctr">
            <a:lnSpc>
              <a:spcPts val="1500"/>
            </a:lnSpc>
          </a:pPr>
          <a:r>
            <a:rPr lang="pt-BR" sz="1700" b="1">
              <a:effectLst/>
              <a:latin typeface="+mn-lt"/>
              <a:ea typeface="+mn-ea"/>
              <a:cs typeface="+mn-cs"/>
            </a:rPr>
            <a:t>PREFEITURA MUNICIPAL DE SANTA CRUZ DO ESCALVADO</a:t>
          </a:r>
          <a:endParaRPr lang="pt-BR" sz="1700">
            <a:effectLst/>
            <a:latin typeface="+mn-lt"/>
            <a:ea typeface="+mn-ea"/>
            <a:cs typeface="+mn-cs"/>
          </a:endParaRPr>
        </a:p>
        <a:p>
          <a:pPr algn="ctr">
            <a:lnSpc>
              <a:spcPts val="1000"/>
            </a:lnSpc>
          </a:pPr>
          <a:r>
            <a:rPr lang="pt-BR" sz="1100" b="1">
              <a:effectLst/>
              <a:latin typeface="+mn-lt"/>
              <a:ea typeface="+mn-ea"/>
              <a:cs typeface="+mn-cs"/>
            </a:rPr>
            <a:t>            ESTADO DE MINAS GERAIS</a:t>
          </a:r>
          <a:endParaRPr lang="pt-BR" sz="1100">
            <a:effectLst/>
            <a:latin typeface="+mn-lt"/>
            <a:ea typeface="+mn-ea"/>
            <a:cs typeface="+mn-cs"/>
          </a:endParaRPr>
        </a:p>
        <a:p>
          <a:pPr algn="ctr">
            <a:lnSpc>
              <a:spcPts val="1100"/>
            </a:lnSpc>
          </a:pPr>
          <a:r>
            <a:rPr lang="pt-BR" sz="1100" b="1">
              <a:effectLst/>
              <a:latin typeface="+mn-lt"/>
              <a:ea typeface="+mn-ea"/>
              <a:cs typeface="+mn-cs"/>
            </a:rPr>
            <a:t>              Adm. 2025-2028</a:t>
          </a:r>
          <a:endParaRPr lang="pt-BR" sz="110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182880</xdr:colOff>
      <xdr:row>0</xdr:row>
      <xdr:rowOff>60960</xdr:rowOff>
    </xdr:from>
    <xdr:to>
      <xdr:col>1</xdr:col>
      <xdr:colOff>563880</xdr:colOff>
      <xdr:row>0</xdr:row>
      <xdr:rowOff>662940</xdr:rowOff>
    </xdr:to>
    <xdr:pic>
      <xdr:nvPicPr>
        <xdr:cNvPr id="12" name="Imagem 2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7820" y="60960"/>
          <a:ext cx="381000" cy="601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52</xdr:row>
          <xdr:rowOff>57150</xdr:rowOff>
        </xdr:from>
        <xdr:to>
          <xdr:col>1</xdr:col>
          <xdr:colOff>542925</xdr:colOff>
          <xdr:row>54</xdr:row>
          <xdr:rowOff>123825</xdr:rowOff>
        </xdr:to>
        <xdr:sp macro="" textlink="">
          <xdr:nvSpPr>
            <xdr:cNvPr id="8196" name="Button 4" hidden="1">
              <a:extLst>
                <a:ext uri="{63B3BB69-23CF-44E3-9099-C40C66FF867C}">
                  <a14:compatExt spid="_x0000_s8196"/>
                </a:ext>
                <a:ext uri="{FF2B5EF4-FFF2-40B4-BE49-F238E27FC236}">
                  <a16:creationId xmlns:a16="http://schemas.microsoft.com/office/drawing/2014/main" id="{00000000-0008-0000-0800-00000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Importar foto</a:t>
              </a:r>
            </a:p>
          </xdr:txBody>
        </xdr:sp>
        <xdr:clientData fPrintsWithSheet="0"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2674620</xdr:colOff>
      <xdr:row>0</xdr:row>
      <xdr:rowOff>114300</xdr:rowOff>
    </xdr:from>
    <xdr:to>
      <xdr:col>6</xdr:col>
      <xdr:colOff>371549</xdr:colOff>
      <xdr:row>1</xdr:row>
      <xdr:rowOff>3812</xdr:rowOff>
    </xdr:to>
    <xdr:sp macro="" textlink="">
      <xdr:nvSpPr>
        <xdr:cNvPr id="2" name="Text Box 6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3162300" y="114300"/>
          <a:ext cx="8616389" cy="5829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algn="ctr">
            <a:lnSpc>
              <a:spcPts val="1500"/>
            </a:lnSpc>
          </a:pPr>
          <a:r>
            <a:rPr lang="pt-BR" sz="1700" b="1">
              <a:effectLst/>
              <a:latin typeface="+mn-lt"/>
              <a:ea typeface="+mn-ea"/>
              <a:cs typeface="+mn-cs"/>
            </a:rPr>
            <a:t>PREFEITURA MUNICIPAL DE SANTA CRUZ DO ESCALVADO</a:t>
          </a:r>
          <a:endParaRPr lang="pt-BR" sz="1700">
            <a:effectLst/>
            <a:latin typeface="+mn-lt"/>
            <a:ea typeface="+mn-ea"/>
            <a:cs typeface="+mn-cs"/>
          </a:endParaRPr>
        </a:p>
        <a:p>
          <a:pPr algn="ctr">
            <a:lnSpc>
              <a:spcPts val="1000"/>
            </a:lnSpc>
          </a:pPr>
          <a:r>
            <a:rPr lang="pt-BR" sz="1100" b="1">
              <a:effectLst/>
              <a:latin typeface="+mn-lt"/>
              <a:ea typeface="+mn-ea"/>
              <a:cs typeface="+mn-cs"/>
            </a:rPr>
            <a:t>            ESTADO DE MINAS GERAIS</a:t>
          </a:r>
          <a:endParaRPr lang="pt-BR" sz="1100">
            <a:effectLst/>
            <a:latin typeface="+mn-lt"/>
            <a:ea typeface="+mn-ea"/>
            <a:cs typeface="+mn-cs"/>
          </a:endParaRPr>
        </a:p>
        <a:p>
          <a:pPr algn="ctr">
            <a:lnSpc>
              <a:spcPts val="1100"/>
            </a:lnSpc>
          </a:pPr>
          <a:r>
            <a:rPr lang="pt-BR" sz="1100" b="1">
              <a:effectLst/>
              <a:latin typeface="+mn-lt"/>
              <a:ea typeface="+mn-ea"/>
              <a:cs typeface="+mn-cs"/>
            </a:rPr>
            <a:t>              Adm. 2025-2028</a:t>
          </a:r>
          <a:endParaRPr lang="pt-BR" sz="110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83820</xdr:colOff>
      <xdr:row>0</xdr:row>
      <xdr:rowOff>53340</xdr:rowOff>
    </xdr:from>
    <xdr:to>
      <xdr:col>1</xdr:col>
      <xdr:colOff>464820</xdr:colOff>
      <xdr:row>0</xdr:row>
      <xdr:rowOff>655320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53340"/>
          <a:ext cx="381000" cy="601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</xdr:colOff>
      <xdr:row>0</xdr:row>
      <xdr:rowOff>0</xdr:rowOff>
    </xdr:from>
    <xdr:to>
      <xdr:col>1</xdr:col>
      <xdr:colOff>182880</xdr:colOff>
      <xdr:row>0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pSpPr>
          <a:grpSpLocks noChangeAspect="1"/>
        </xdr:cNvGrpSpPr>
      </xdr:nvGrpSpPr>
      <xdr:grpSpPr bwMode="auto">
        <a:xfrm>
          <a:off x="60960" y="0"/>
          <a:ext cx="1032087" cy="0"/>
          <a:chOff x="1728" y="1296"/>
          <a:chExt cx="720" cy="720"/>
        </a:xfrm>
      </xdr:grpSpPr>
      <xdr:sp macro="" textlink="">
        <xdr:nvSpPr>
          <xdr:cNvPr id="3" name="Line 2">
            <a:extLst>
              <a:ext uri="{FF2B5EF4-FFF2-40B4-BE49-F238E27FC236}">
                <a16:creationId xmlns:a16="http://schemas.microsoft.com/office/drawing/2014/main" id="{00000000-0008-0000-0A00-000003000000}"/>
              </a:ext>
            </a:extLst>
          </xdr:cNvPr>
          <xdr:cNvSpPr>
            <a:spLocks noChangeAspect="1" noChangeShapeType="1"/>
          </xdr:cNvSpPr>
        </xdr:nvSpPr>
        <xdr:spPr bwMode="auto">
          <a:xfrm flipV="1">
            <a:off x="1728" y="1440"/>
            <a:ext cx="0" cy="43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" name="Line 3">
            <a:extLst>
              <a:ext uri="{FF2B5EF4-FFF2-40B4-BE49-F238E27FC236}">
                <a16:creationId xmlns:a16="http://schemas.microsoft.com/office/drawing/2014/main" id="{00000000-0008-0000-0A00-000004000000}"/>
              </a:ext>
            </a:extLst>
          </xdr:cNvPr>
          <xdr:cNvSpPr>
            <a:spLocks noChangeAspect="1" noChangeShapeType="1"/>
          </xdr:cNvSpPr>
        </xdr:nvSpPr>
        <xdr:spPr bwMode="auto">
          <a:xfrm flipV="1">
            <a:off x="1728" y="1296"/>
            <a:ext cx="144" cy="14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" name="Line 4">
            <a:extLst>
              <a:ext uri="{FF2B5EF4-FFF2-40B4-BE49-F238E27FC236}">
                <a16:creationId xmlns:a16="http://schemas.microsoft.com/office/drawing/2014/main" id="{00000000-0008-0000-0A00-000005000000}"/>
              </a:ext>
            </a:extLst>
          </xdr:cNvPr>
          <xdr:cNvSpPr>
            <a:spLocks noChangeAspect="1" noChangeShapeType="1"/>
          </xdr:cNvSpPr>
        </xdr:nvSpPr>
        <xdr:spPr bwMode="auto">
          <a:xfrm>
            <a:off x="1728" y="1872"/>
            <a:ext cx="144" cy="14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" name="Line 5">
            <a:extLst>
              <a:ext uri="{FF2B5EF4-FFF2-40B4-BE49-F238E27FC236}">
                <a16:creationId xmlns:a16="http://schemas.microsoft.com/office/drawing/2014/main" id="{00000000-0008-0000-0A00-000006000000}"/>
              </a:ext>
            </a:extLst>
          </xdr:cNvPr>
          <xdr:cNvSpPr>
            <a:spLocks noChangeAspect="1" noChangeShapeType="1"/>
          </xdr:cNvSpPr>
        </xdr:nvSpPr>
        <xdr:spPr bwMode="auto">
          <a:xfrm>
            <a:off x="1872" y="1296"/>
            <a:ext cx="576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" name="Line 6">
            <a:extLst>
              <a:ext uri="{FF2B5EF4-FFF2-40B4-BE49-F238E27FC236}">
                <a16:creationId xmlns:a16="http://schemas.microsoft.com/office/drawing/2014/main" id="{00000000-0008-0000-0A00-000007000000}"/>
              </a:ext>
            </a:extLst>
          </xdr:cNvPr>
          <xdr:cNvSpPr>
            <a:spLocks noChangeAspect="1" noChangeShapeType="1"/>
          </xdr:cNvSpPr>
        </xdr:nvSpPr>
        <xdr:spPr bwMode="auto">
          <a:xfrm>
            <a:off x="1872" y="2016"/>
            <a:ext cx="576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121920</xdr:colOff>
      <xdr:row>0</xdr:row>
      <xdr:rowOff>0</xdr:rowOff>
    </xdr:from>
    <xdr:to>
      <xdr:col>1</xdr:col>
      <xdr:colOff>198120</xdr:colOff>
      <xdr:row>0</xdr:row>
      <xdr:rowOff>0</xdr:rowOff>
    </xdr:to>
    <xdr:pic>
      <xdr:nvPicPr>
        <xdr:cNvPr id="8" name="Picture 8" descr="brasao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" y="0"/>
          <a:ext cx="102108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1234441</xdr:colOff>
      <xdr:row>0</xdr:row>
      <xdr:rowOff>91440</xdr:rowOff>
    </xdr:from>
    <xdr:to>
      <xdr:col>8</xdr:col>
      <xdr:colOff>68581</xdr:colOff>
      <xdr:row>1</xdr:row>
      <xdr:rowOff>3812</xdr:rowOff>
    </xdr:to>
    <xdr:sp macro="" textlink="">
      <xdr:nvSpPr>
        <xdr:cNvPr id="9" name="Text Box 6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 txBox="1">
          <a:spLocks noChangeArrowheads="1"/>
        </xdr:cNvSpPr>
      </xdr:nvSpPr>
      <xdr:spPr bwMode="auto">
        <a:xfrm>
          <a:off x="1889761" y="91440"/>
          <a:ext cx="5737860" cy="6057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algn="ctr">
            <a:lnSpc>
              <a:spcPts val="1500"/>
            </a:lnSpc>
          </a:pPr>
          <a:r>
            <a:rPr lang="pt-BR" sz="1700" b="1">
              <a:effectLst/>
              <a:latin typeface="+mn-lt"/>
              <a:ea typeface="+mn-ea"/>
              <a:cs typeface="+mn-cs"/>
            </a:rPr>
            <a:t>PREFEITURA MUNICIPAL DE SANTA CRUZ DO ESCALVADO</a:t>
          </a:r>
          <a:endParaRPr lang="pt-BR" sz="1700">
            <a:effectLst/>
            <a:latin typeface="+mn-lt"/>
            <a:ea typeface="+mn-ea"/>
            <a:cs typeface="+mn-cs"/>
          </a:endParaRPr>
        </a:p>
        <a:p>
          <a:pPr algn="ctr">
            <a:lnSpc>
              <a:spcPts val="1000"/>
            </a:lnSpc>
          </a:pPr>
          <a:r>
            <a:rPr lang="pt-BR" sz="1100" b="1">
              <a:effectLst/>
              <a:latin typeface="+mn-lt"/>
              <a:ea typeface="+mn-ea"/>
              <a:cs typeface="+mn-cs"/>
            </a:rPr>
            <a:t>            ESTADO DE MINAS GERAIS</a:t>
          </a:r>
          <a:endParaRPr lang="pt-BR" sz="1100">
            <a:effectLst/>
            <a:latin typeface="+mn-lt"/>
            <a:ea typeface="+mn-ea"/>
            <a:cs typeface="+mn-cs"/>
          </a:endParaRPr>
        </a:p>
        <a:p>
          <a:pPr algn="ctr">
            <a:lnSpc>
              <a:spcPts val="1100"/>
            </a:lnSpc>
          </a:pPr>
          <a:r>
            <a:rPr lang="pt-BR" sz="1100" b="1">
              <a:effectLst/>
              <a:latin typeface="+mn-lt"/>
              <a:ea typeface="+mn-ea"/>
              <a:cs typeface="+mn-cs"/>
            </a:rPr>
            <a:t>              Adm. 2025-2028</a:t>
          </a:r>
          <a:endParaRPr lang="pt-BR" sz="110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182880</xdr:colOff>
      <xdr:row>0</xdr:row>
      <xdr:rowOff>60960</xdr:rowOff>
    </xdr:from>
    <xdr:to>
      <xdr:col>1</xdr:col>
      <xdr:colOff>563880</xdr:colOff>
      <xdr:row>0</xdr:row>
      <xdr:rowOff>662940</xdr:rowOff>
    </xdr:to>
    <xdr:pic>
      <xdr:nvPicPr>
        <xdr:cNvPr id="10" name="Imagem 2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" y="60960"/>
          <a:ext cx="381000" cy="601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52</xdr:row>
          <xdr:rowOff>57150</xdr:rowOff>
        </xdr:from>
        <xdr:to>
          <xdr:col>1</xdr:col>
          <xdr:colOff>533400</xdr:colOff>
          <xdr:row>54</xdr:row>
          <xdr:rowOff>133350</xdr:rowOff>
        </xdr:to>
        <xdr:sp macro="" textlink="">
          <xdr:nvSpPr>
            <xdr:cNvPr id="20481" name="Button 1" hidden="1">
              <a:extLst>
                <a:ext uri="{63B3BB69-23CF-44E3-9099-C40C66FF867C}">
                  <a14:compatExt spid="_x0000_s20481"/>
                </a:ext>
                <a:ext uri="{FF2B5EF4-FFF2-40B4-BE49-F238E27FC236}">
                  <a16:creationId xmlns:a16="http://schemas.microsoft.com/office/drawing/2014/main" id="{00000000-0008-0000-0A00-000001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Importar foto</a:t>
              </a:r>
            </a:p>
          </xdr:txBody>
        </xdr:sp>
        <xdr:clientData fPrintsWithSheet="0"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0</xdr:row>
      <xdr:rowOff>0</xdr:rowOff>
    </xdr:from>
    <xdr:to>
      <xdr:col>1</xdr:col>
      <xdr:colOff>30480</xdr:colOff>
      <xdr:row>0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pSpPr>
          <a:grpSpLocks noChangeAspect="1"/>
        </xdr:cNvGrpSpPr>
      </xdr:nvGrpSpPr>
      <xdr:grpSpPr bwMode="auto">
        <a:xfrm>
          <a:off x="15240" y="0"/>
          <a:ext cx="491490" cy="0"/>
          <a:chOff x="1728" y="1296"/>
          <a:chExt cx="720" cy="720"/>
        </a:xfrm>
      </xdr:grpSpPr>
      <xdr:sp macro="" textlink="">
        <xdr:nvSpPr>
          <xdr:cNvPr id="3" name="Line 2">
            <a:extLst>
              <a:ext uri="{FF2B5EF4-FFF2-40B4-BE49-F238E27FC236}">
                <a16:creationId xmlns:a16="http://schemas.microsoft.com/office/drawing/2014/main" id="{00000000-0008-0000-0B00-000003000000}"/>
              </a:ext>
            </a:extLst>
          </xdr:cNvPr>
          <xdr:cNvSpPr>
            <a:spLocks noChangeAspect="1" noChangeShapeType="1"/>
          </xdr:cNvSpPr>
        </xdr:nvSpPr>
        <xdr:spPr bwMode="auto">
          <a:xfrm flipV="1">
            <a:off x="1728" y="1440"/>
            <a:ext cx="0" cy="43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" name="Line 3">
            <a:extLst>
              <a:ext uri="{FF2B5EF4-FFF2-40B4-BE49-F238E27FC236}">
                <a16:creationId xmlns:a16="http://schemas.microsoft.com/office/drawing/2014/main" id="{00000000-0008-0000-0B00-000004000000}"/>
              </a:ext>
            </a:extLst>
          </xdr:cNvPr>
          <xdr:cNvSpPr>
            <a:spLocks noChangeAspect="1" noChangeShapeType="1"/>
          </xdr:cNvSpPr>
        </xdr:nvSpPr>
        <xdr:spPr bwMode="auto">
          <a:xfrm flipV="1">
            <a:off x="1728" y="1296"/>
            <a:ext cx="144" cy="14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" name="Line 4">
            <a:extLst>
              <a:ext uri="{FF2B5EF4-FFF2-40B4-BE49-F238E27FC236}">
                <a16:creationId xmlns:a16="http://schemas.microsoft.com/office/drawing/2014/main" id="{00000000-0008-0000-0B00-000005000000}"/>
              </a:ext>
            </a:extLst>
          </xdr:cNvPr>
          <xdr:cNvSpPr>
            <a:spLocks noChangeAspect="1" noChangeShapeType="1"/>
          </xdr:cNvSpPr>
        </xdr:nvSpPr>
        <xdr:spPr bwMode="auto">
          <a:xfrm>
            <a:off x="1728" y="1872"/>
            <a:ext cx="144" cy="14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" name="Line 5">
            <a:extLst>
              <a:ext uri="{FF2B5EF4-FFF2-40B4-BE49-F238E27FC236}">
                <a16:creationId xmlns:a16="http://schemas.microsoft.com/office/drawing/2014/main" id="{00000000-0008-0000-0B00-000006000000}"/>
              </a:ext>
            </a:extLst>
          </xdr:cNvPr>
          <xdr:cNvSpPr>
            <a:spLocks noChangeAspect="1" noChangeShapeType="1"/>
          </xdr:cNvSpPr>
        </xdr:nvSpPr>
        <xdr:spPr bwMode="auto">
          <a:xfrm>
            <a:off x="1872" y="1296"/>
            <a:ext cx="576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" name="Line 6">
            <a:extLst>
              <a:ext uri="{FF2B5EF4-FFF2-40B4-BE49-F238E27FC236}">
                <a16:creationId xmlns:a16="http://schemas.microsoft.com/office/drawing/2014/main" id="{00000000-0008-0000-0B00-000007000000}"/>
              </a:ext>
            </a:extLst>
          </xdr:cNvPr>
          <xdr:cNvSpPr>
            <a:spLocks noChangeAspect="1" noChangeShapeType="1"/>
          </xdr:cNvSpPr>
        </xdr:nvSpPr>
        <xdr:spPr bwMode="auto">
          <a:xfrm>
            <a:off x="1872" y="2016"/>
            <a:ext cx="576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22860</xdr:colOff>
      <xdr:row>0</xdr:row>
      <xdr:rowOff>0</xdr:rowOff>
    </xdr:from>
    <xdr:to>
      <xdr:col>1</xdr:col>
      <xdr:colOff>38100</xdr:colOff>
      <xdr:row>0</xdr:row>
      <xdr:rowOff>0</xdr:rowOff>
    </xdr:to>
    <xdr:pic>
      <xdr:nvPicPr>
        <xdr:cNvPr id="8" name="Picture 8" descr="brasao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514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655320</xdr:colOff>
      <xdr:row>0</xdr:row>
      <xdr:rowOff>144780</xdr:rowOff>
    </xdr:from>
    <xdr:to>
      <xdr:col>1</xdr:col>
      <xdr:colOff>988695</xdr:colOff>
      <xdr:row>0</xdr:row>
      <xdr:rowOff>640080</xdr:rowOff>
    </xdr:to>
    <xdr:pic>
      <xdr:nvPicPr>
        <xdr:cNvPr id="10" name="Imagem 2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144780"/>
          <a:ext cx="3333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5</xdr:col>
      <xdr:colOff>714449</xdr:colOff>
      <xdr:row>0</xdr:row>
      <xdr:rowOff>582932</xdr:rowOff>
    </xdr:to>
    <xdr:sp macro="" textlink="">
      <xdr:nvSpPr>
        <xdr:cNvPr id="11" name="Text Box 6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SpPr txBox="1">
          <a:spLocks noChangeArrowheads="1"/>
        </xdr:cNvSpPr>
      </xdr:nvSpPr>
      <xdr:spPr bwMode="auto">
        <a:xfrm>
          <a:off x="495300" y="0"/>
          <a:ext cx="8616389" cy="5829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b" upright="1"/>
        <a:lstStyle/>
        <a:p>
          <a:pPr algn="ctr">
            <a:lnSpc>
              <a:spcPts val="1500"/>
            </a:lnSpc>
          </a:pPr>
          <a:r>
            <a:rPr lang="pt-BR" sz="1700" b="1">
              <a:effectLst/>
              <a:latin typeface="+mn-lt"/>
              <a:ea typeface="+mn-ea"/>
              <a:cs typeface="+mn-cs"/>
            </a:rPr>
            <a:t>PREFEITURA MUNICIPAL DE SANTA CRUZ DO ESCALVADO</a:t>
          </a:r>
          <a:endParaRPr lang="pt-BR" sz="1700">
            <a:effectLst/>
            <a:latin typeface="+mn-lt"/>
            <a:ea typeface="+mn-ea"/>
            <a:cs typeface="+mn-cs"/>
          </a:endParaRPr>
        </a:p>
        <a:p>
          <a:pPr algn="ctr">
            <a:lnSpc>
              <a:spcPts val="1000"/>
            </a:lnSpc>
          </a:pPr>
          <a:r>
            <a:rPr lang="pt-BR" sz="1100" b="1">
              <a:effectLst/>
              <a:latin typeface="+mn-lt"/>
              <a:ea typeface="+mn-ea"/>
              <a:cs typeface="+mn-cs"/>
            </a:rPr>
            <a:t>            ESTADO DE MINAS GERAIS</a:t>
          </a:r>
          <a:endParaRPr lang="pt-BR" sz="1100">
            <a:effectLst/>
            <a:latin typeface="+mn-lt"/>
            <a:ea typeface="+mn-ea"/>
            <a:cs typeface="+mn-cs"/>
          </a:endParaRPr>
        </a:p>
        <a:p>
          <a:pPr algn="ctr">
            <a:lnSpc>
              <a:spcPts val="1100"/>
            </a:lnSpc>
          </a:pPr>
          <a:r>
            <a:rPr lang="pt-BR" sz="1100" b="1">
              <a:effectLst/>
              <a:latin typeface="+mn-lt"/>
              <a:ea typeface="+mn-ea"/>
              <a:cs typeface="+mn-cs"/>
            </a:rPr>
            <a:t>              Adm. 2025-2028</a:t>
          </a:r>
          <a:endParaRPr lang="pt-BR" sz="1100"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Meu%20Drive\3a.%20GEST&#195;O\8%20OBRAS\10%20RECURSO%20PR&#211;PRIO\145%20GABI&#195;O%20Ribeir&#227;o%20Escalvado%20TRECHO%202%20240626%20HUGO\MEDI&#199;&#213;ES\GABI&#195;O%20Ribeir&#227;o%20Escalvado%20TRECHO%202_MEDI&#199;&#213;ES.xls" TargetMode="External"/><Relationship Id="rId1" Type="http://schemas.openxmlformats.org/officeDocument/2006/relationships/externalLinkPath" Target="file:///G:\Meu%20Drive\3a.%20GEST&#195;O\8%20OBRAS\10%20RECURSO%20PR&#211;PRIO\145%20GABI&#195;O%20Ribeir&#227;o%20Escalvado%20TRECHO%202%20240626%20HUGO\MEDI&#199;&#213;ES\GABI&#195;O%20Ribeir&#227;o%20Escalvado%20TRECHO%202_MEDI&#199;&#213;ES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wilso/Desktop/1648828781-500076.xls" TargetMode="External"/><Relationship Id="rId1" Type="http://schemas.openxmlformats.org/officeDocument/2006/relationships/externalLinkPath" Target="/Users/wilso/Desktop/1648828781-50007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LANILHA"/>
      <sheetName val="CRONOGRAMA"/>
      <sheetName val="FOTOS"/>
      <sheetName val="BDI"/>
      <sheetName val="Base dados - TCU 2622_2013"/>
      <sheetName val="BM 01"/>
      <sheetName val="BM 01 FOTOS"/>
    </sheetNames>
    <sheetDataSet>
      <sheetData sheetId="0"/>
      <sheetData sheetId="1"/>
      <sheetData sheetId="2"/>
      <sheetData sheetId="3"/>
      <sheetData sheetId="4">
        <row r="2">
          <cell r="A2" t="str">
            <v>SIM</v>
          </cell>
        </row>
        <row r="3">
          <cell r="A3" t="str">
            <v>NÃO</v>
          </cell>
        </row>
        <row r="7">
          <cell r="A7" t="str">
            <v>Construção de Edifícios e Reformas (Quadras, unidades habitacionais, escolas, restaurantes, etc)</v>
          </cell>
        </row>
        <row r="8">
          <cell r="A8" t="str">
            <v>Construção de Praças</v>
          </cell>
        </row>
        <row r="9">
          <cell r="A9" t="str">
            <v>Construção de Rodovias (Pavimentação Urbana)</v>
          </cell>
        </row>
        <row r="10">
          <cell r="A10" t="str">
            <v>Construção de Ferrovias</v>
          </cell>
        </row>
        <row r="11">
          <cell r="A11" t="str">
            <v>Construção de Redes de Abastecimento de Água, Coleta de Esgoto e Construções Correlatas</v>
          </cell>
        </row>
        <row r="12">
          <cell r="A12" t="str">
            <v>Construção e Manutenção de Estações e Redes de Distribuição de Energia Elétrica</v>
          </cell>
        </row>
        <row r="13">
          <cell r="A13" t="str">
            <v>Portuárias, Marítimas e Fluviais</v>
          </cell>
        </row>
        <row r="14">
          <cell r="A14" t="str">
            <v>Fornecimento de Materiais e Equipamentos</v>
          </cell>
        </row>
      </sheetData>
      <sheetData sheetId="5">
        <row r="2">
          <cell r="A2" t="str">
            <v>Empresa Contratada: CONSTRUTORA SANCARLOS LTDA</v>
          </cell>
        </row>
      </sheetData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DI sem justificativa"/>
      <sheetName val="Base dados - TCU 2622_2013"/>
    </sheetNames>
    <sheetDataSet>
      <sheetData sheetId="0"/>
      <sheetData sheetId="1">
        <row r="7">
          <cell r="A7" t="str">
            <v>Construção de Edifícios e Reformas (Quadras, unidades habitacionais, escolas, restaurantes, etc)</v>
          </cell>
          <cell r="B7">
            <v>3</v>
          </cell>
          <cell r="C7">
            <v>4</v>
          </cell>
          <cell r="D7">
            <v>5.5</v>
          </cell>
          <cell r="E7">
            <v>0.8</v>
          </cell>
          <cell r="F7">
            <v>0.8</v>
          </cell>
          <cell r="G7">
            <v>1</v>
          </cell>
          <cell r="H7">
            <v>0.97</v>
          </cell>
          <cell r="I7">
            <v>1.27</v>
          </cell>
          <cell r="J7">
            <v>1.27</v>
          </cell>
          <cell r="K7">
            <v>0.59</v>
          </cell>
          <cell r="L7">
            <v>1.23</v>
          </cell>
          <cell r="M7">
            <v>1.39</v>
          </cell>
          <cell r="N7">
            <v>6.16</v>
          </cell>
          <cell r="O7">
            <v>7.4</v>
          </cell>
          <cell r="P7">
            <v>8.9600000000000009</v>
          </cell>
          <cell r="Q7">
            <v>3</v>
          </cell>
          <cell r="R7">
            <v>0.65</v>
          </cell>
          <cell r="S7">
            <v>2</v>
          </cell>
          <cell r="T7">
            <v>3.5</v>
          </cell>
          <cell r="U7">
            <v>5</v>
          </cell>
          <cell r="V7">
            <v>2</v>
          </cell>
          <cell r="W7">
            <v>20.34</v>
          </cell>
          <cell r="X7">
            <v>22.12</v>
          </cell>
          <cell r="Y7">
            <v>25</v>
          </cell>
        </row>
        <row r="8">
          <cell r="A8" t="str">
            <v>Construção de Praças</v>
          </cell>
          <cell r="B8">
            <v>3.8</v>
          </cell>
          <cell r="C8">
            <v>4.01</v>
          </cell>
          <cell r="D8">
            <v>4.67</v>
          </cell>
          <cell r="E8">
            <v>0.32</v>
          </cell>
          <cell r="F8">
            <v>0.4</v>
          </cell>
          <cell r="G8">
            <v>0.74</v>
          </cell>
          <cell r="H8">
            <v>0.5</v>
          </cell>
          <cell r="I8">
            <v>0.56000000000000005</v>
          </cell>
          <cell r="J8">
            <v>0.97</v>
          </cell>
          <cell r="K8">
            <v>1.02</v>
          </cell>
          <cell r="L8">
            <v>1.1100000000000001</v>
          </cell>
          <cell r="M8">
            <v>1.21</v>
          </cell>
          <cell r="N8">
            <v>6.64</v>
          </cell>
          <cell r="O8">
            <v>7.3</v>
          </cell>
          <cell r="P8">
            <v>8.69</v>
          </cell>
          <cell r="Q8">
            <v>3</v>
          </cell>
          <cell r="R8">
            <v>0.65</v>
          </cell>
          <cell r="S8">
            <v>2</v>
          </cell>
          <cell r="T8">
            <v>3.5</v>
          </cell>
          <cell r="U8">
            <v>5</v>
          </cell>
          <cell r="V8">
            <v>2</v>
          </cell>
          <cell r="W8">
            <v>19.600000000000001</v>
          </cell>
          <cell r="X8">
            <v>20.97</v>
          </cell>
          <cell r="Y8">
            <v>24.23</v>
          </cell>
        </row>
        <row r="9">
          <cell r="A9" t="str">
            <v>Construção de Rodovias (Pavimentação Urbana)</v>
          </cell>
          <cell r="B9">
            <v>3.8</v>
          </cell>
          <cell r="C9">
            <v>4.01</v>
          </cell>
          <cell r="D9">
            <v>4.67</v>
          </cell>
          <cell r="E9">
            <v>0.32</v>
          </cell>
          <cell r="F9">
            <v>0.4</v>
          </cell>
          <cell r="G9">
            <v>0.74</v>
          </cell>
          <cell r="H9">
            <v>0.5</v>
          </cell>
          <cell r="I9">
            <v>0.56000000000000005</v>
          </cell>
          <cell r="J9">
            <v>0.97</v>
          </cell>
          <cell r="K9">
            <v>1.02</v>
          </cell>
          <cell r="L9">
            <v>1.1100000000000001</v>
          </cell>
          <cell r="M9">
            <v>1.21</v>
          </cell>
          <cell r="N9">
            <v>6.64</v>
          </cell>
          <cell r="O9">
            <v>7.3</v>
          </cell>
          <cell r="P9">
            <v>8.69</v>
          </cell>
          <cell r="Q9">
            <v>3</v>
          </cell>
          <cell r="R9">
            <v>0.65</v>
          </cell>
          <cell r="S9">
            <v>2</v>
          </cell>
          <cell r="T9">
            <v>3.5</v>
          </cell>
          <cell r="U9">
            <v>5</v>
          </cell>
          <cell r="V9">
            <v>2</v>
          </cell>
          <cell r="W9">
            <v>19.600000000000001</v>
          </cell>
          <cell r="X9">
            <v>20.97</v>
          </cell>
          <cell r="Y9">
            <v>24.23</v>
          </cell>
        </row>
        <row r="10">
          <cell r="A10" t="str">
            <v>Construção de Ferrovias</v>
          </cell>
          <cell r="B10">
            <v>3.8</v>
          </cell>
          <cell r="C10">
            <v>4.01</v>
          </cell>
          <cell r="D10">
            <v>4.67</v>
          </cell>
          <cell r="E10">
            <v>0.32</v>
          </cell>
          <cell r="F10">
            <v>0.4</v>
          </cell>
          <cell r="G10">
            <v>0.74</v>
          </cell>
          <cell r="H10">
            <v>0.5</v>
          </cell>
          <cell r="I10">
            <v>0.56000000000000005</v>
          </cell>
          <cell r="J10">
            <v>0.97</v>
          </cell>
          <cell r="K10">
            <v>1.02</v>
          </cell>
          <cell r="L10">
            <v>1.1100000000000001</v>
          </cell>
          <cell r="M10">
            <v>1.21</v>
          </cell>
          <cell r="N10">
            <v>6.64</v>
          </cell>
          <cell r="O10">
            <v>7.3</v>
          </cell>
          <cell r="P10">
            <v>8.69</v>
          </cell>
          <cell r="Q10">
            <v>3</v>
          </cell>
          <cell r="R10">
            <v>0.65</v>
          </cell>
          <cell r="S10">
            <v>2</v>
          </cell>
          <cell r="T10">
            <v>3.5</v>
          </cell>
          <cell r="U10">
            <v>5</v>
          </cell>
          <cell r="V10">
            <v>2</v>
          </cell>
          <cell r="W10">
            <v>19.600000000000001</v>
          </cell>
          <cell r="X10">
            <v>20.97</v>
          </cell>
          <cell r="Y10">
            <v>24.23</v>
          </cell>
        </row>
        <row r="11">
          <cell r="A11" t="str">
            <v>Construção de Redes de Abastecimento de Água, Coleta de Esgoto e Construções Correlatas</v>
          </cell>
          <cell r="B11">
            <v>3.43</v>
          </cell>
          <cell r="C11">
            <v>4.93</v>
          </cell>
          <cell r="D11">
            <v>6.71</v>
          </cell>
          <cell r="E11">
            <v>0.28000000000000003</v>
          </cell>
          <cell r="F11">
            <v>0.49</v>
          </cell>
          <cell r="G11">
            <v>0.75</v>
          </cell>
          <cell r="H11">
            <v>1</v>
          </cell>
          <cell r="I11">
            <v>1.39</v>
          </cell>
          <cell r="J11">
            <v>1.74</v>
          </cell>
          <cell r="K11">
            <v>0.94</v>
          </cell>
          <cell r="L11">
            <v>0.99</v>
          </cell>
          <cell r="M11">
            <v>1.17</v>
          </cell>
          <cell r="N11">
            <v>6.74</v>
          </cell>
          <cell r="O11">
            <v>8.0399999999999991</v>
          </cell>
          <cell r="P11">
            <v>9.4</v>
          </cell>
          <cell r="Q11">
            <v>3</v>
          </cell>
          <cell r="R11">
            <v>0.65</v>
          </cell>
          <cell r="S11">
            <v>2</v>
          </cell>
          <cell r="T11">
            <v>3.5</v>
          </cell>
          <cell r="U11">
            <v>5</v>
          </cell>
          <cell r="V11">
            <v>2</v>
          </cell>
          <cell r="W11">
            <v>20.76</v>
          </cell>
          <cell r="X11">
            <v>24.18</v>
          </cell>
          <cell r="Y11">
            <v>26.44</v>
          </cell>
        </row>
        <row r="12">
          <cell r="A12" t="str">
            <v>Construção e Manutenção de Estações e Redes de Distribuição de Energia Elétrica</v>
          </cell>
          <cell r="B12">
            <v>5.29</v>
          </cell>
          <cell r="C12">
            <v>5.92</v>
          </cell>
          <cell r="D12">
            <v>7.93</v>
          </cell>
          <cell r="E12">
            <v>0.25</v>
          </cell>
          <cell r="F12">
            <v>0.51</v>
          </cell>
          <cell r="G12">
            <v>0.56000000000000005</v>
          </cell>
          <cell r="H12">
            <v>1</v>
          </cell>
          <cell r="I12">
            <v>1.48</v>
          </cell>
          <cell r="J12">
            <v>1.97</v>
          </cell>
          <cell r="K12">
            <v>1.01</v>
          </cell>
          <cell r="L12">
            <v>1.07</v>
          </cell>
          <cell r="M12">
            <v>1.1100000000000001</v>
          </cell>
          <cell r="N12">
            <v>8</v>
          </cell>
          <cell r="O12">
            <v>8.31</v>
          </cell>
          <cell r="P12">
            <v>9.51</v>
          </cell>
          <cell r="Q12">
            <v>3</v>
          </cell>
          <cell r="R12">
            <v>0.65</v>
          </cell>
          <cell r="S12">
            <v>2</v>
          </cell>
          <cell r="T12">
            <v>3.5</v>
          </cell>
          <cell r="U12">
            <v>5</v>
          </cell>
          <cell r="V12">
            <v>2</v>
          </cell>
          <cell r="W12">
            <v>24</v>
          </cell>
          <cell r="X12">
            <v>25.84</v>
          </cell>
          <cell r="Y12">
            <v>27.86</v>
          </cell>
        </row>
        <row r="13">
          <cell r="A13" t="str">
            <v>Portuárias, Marítimas e Fluviais</v>
          </cell>
          <cell r="B13">
            <v>4</v>
          </cell>
          <cell r="C13">
            <v>5.52</v>
          </cell>
          <cell r="D13">
            <v>7.85</v>
          </cell>
          <cell r="E13">
            <v>0.81</v>
          </cell>
          <cell r="F13">
            <v>1.22</v>
          </cell>
          <cell r="G13">
            <v>1.99</v>
          </cell>
          <cell r="H13">
            <v>1.46</v>
          </cell>
          <cell r="I13">
            <v>2.3199999999999998</v>
          </cell>
          <cell r="J13">
            <v>3.16</v>
          </cell>
          <cell r="K13">
            <v>0.94</v>
          </cell>
          <cell r="L13">
            <v>1.02</v>
          </cell>
          <cell r="M13">
            <v>1.33</v>
          </cell>
          <cell r="N13">
            <v>7.14</v>
          </cell>
          <cell r="O13">
            <v>8.4</v>
          </cell>
          <cell r="P13">
            <v>10.43</v>
          </cell>
          <cell r="Q13">
            <v>3</v>
          </cell>
          <cell r="R13">
            <v>0.65</v>
          </cell>
          <cell r="S13">
            <v>2</v>
          </cell>
          <cell r="T13">
            <v>3.5</v>
          </cell>
          <cell r="U13">
            <v>5</v>
          </cell>
          <cell r="V13">
            <v>2</v>
          </cell>
          <cell r="W13">
            <v>22.8</v>
          </cell>
          <cell r="X13">
            <v>27.48</v>
          </cell>
          <cell r="Y13">
            <v>30.95</v>
          </cell>
        </row>
        <row r="14">
          <cell r="A14" t="str">
            <v>Fornecimento de Materiais e Equipamentos</v>
          </cell>
          <cell r="B14">
            <v>1.5</v>
          </cell>
          <cell r="C14">
            <v>3.45</v>
          </cell>
          <cell r="D14">
            <v>4.49</v>
          </cell>
          <cell r="E14">
            <v>0.3</v>
          </cell>
          <cell r="F14">
            <v>0.48</v>
          </cell>
          <cell r="G14">
            <v>0.82</v>
          </cell>
          <cell r="H14">
            <v>0.56000000000000005</v>
          </cell>
          <cell r="I14">
            <v>0.85</v>
          </cell>
          <cell r="J14">
            <v>0.89</v>
          </cell>
          <cell r="K14">
            <v>0.85</v>
          </cell>
          <cell r="L14">
            <v>0.85</v>
          </cell>
          <cell r="M14">
            <v>1.1100000000000001</v>
          </cell>
          <cell r="N14">
            <v>3.5</v>
          </cell>
          <cell r="O14">
            <v>5.1100000000000003</v>
          </cell>
          <cell r="P14">
            <v>6.22</v>
          </cell>
          <cell r="Q14">
            <v>3</v>
          </cell>
          <cell r="R14">
            <v>0.65</v>
          </cell>
          <cell r="S14">
            <v>2</v>
          </cell>
          <cell r="T14">
            <v>3.5</v>
          </cell>
          <cell r="U14">
            <v>5</v>
          </cell>
          <cell r="V14">
            <v>2</v>
          </cell>
          <cell r="W14">
            <v>11.1</v>
          </cell>
          <cell r="X14">
            <v>14.02</v>
          </cell>
          <cell r="Y14">
            <v>16.8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trlProp" Target="../ctrlProps/ctrlProp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Relationship Id="rId4" Type="http://schemas.openxmlformats.org/officeDocument/2006/relationships/ctrlProp" Target="../ctrlProps/ctrlProp2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Relationship Id="rId4" Type="http://schemas.openxmlformats.org/officeDocument/2006/relationships/ctrlProp" Target="../ctrlProps/ctrlProp3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3B7E1-C2A4-4B12-8D0A-F53860B10C5C}">
  <sheetPr codeName="Planilha3"/>
  <dimension ref="A1:R85"/>
  <sheetViews>
    <sheetView showZeros="0" view="pageBreakPreview" zoomScaleNormal="100" zoomScaleSheetLayoutView="100" workbookViewId="0">
      <pane ySplit="5" topLeftCell="A79" activePane="bottomLeft" state="frozen"/>
      <selection pane="bottomLeft" activeCell="L53" sqref="L53"/>
    </sheetView>
  </sheetViews>
  <sheetFormatPr defaultColWidth="11.42578125" defaultRowHeight="12.75" x14ac:dyDescent="0.2"/>
  <cols>
    <col min="1" max="1" width="6.5703125" style="7" customWidth="1"/>
    <col min="2" max="2" width="13.140625" style="7" customWidth="1"/>
    <col min="3" max="3" width="11.42578125" style="7" customWidth="1"/>
    <col min="4" max="4" width="67" style="7" customWidth="1"/>
    <col min="5" max="5" width="10.7109375" style="10" customWidth="1"/>
    <col min="6" max="6" width="9" style="10" customWidth="1"/>
    <col min="7" max="9" width="8.140625" style="10" customWidth="1"/>
    <col min="10" max="10" width="38.7109375" style="11" customWidth="1"/>
    <col min="11" max="11" width="7.140625" style="11" customWidth="1"/>
    <col min="12" max="12" width="10" style="12" customWidth="1"/>
    <col min="13" max="13" width="9.7109375" style="7" customWidth="1"/>
    <col min="14" max="14" width="8.42578125" style="7" customWidth="1"/>
    <col min="15" max="16384" width="11.42578125" style="7"/>
  </cols>
  <sheetData>
    <row r="1" spans="1:16" ht="54.6" customHeight="1" x14ac:dyDescent="0.2">
      <c r="A1" s="503"/>
      <c r="B1" s="504"/>
      <c r="C1" s="504"/>
      <c r="D1" s="504"/>
      <c r="E1" s="504"/>
      <c r="F1" s="504"/>
      <c r="G1" s="504"/>
      <c r="H1" s="504"/>
      <c r="I1" s="504"/>
      <c r="J1" s="504"/>
      <c r="K1" s="504"/>
      <c r="L1" s="505"/>
      <c r="M1" s="8"/>
    </row>
    <row r="2" spans="1:16" s="9" customFormat="1" ht="13.9" customHeight="1" x14ac:dyDescent="0.2">
      <c r="A2" s="506" t="s">
        <v>26</v>
      </c>
      <c r="B2" s="506"/>
      <c r="C2" s="506"/>
      <c r="D2" s="506"/>
      <c r="E2" s="506"/>
      <c r="F2" s="506"/>
      <c r="G2" s="506"/>
      <c r="H2" s="506"/>
      <c r="I2" s="506"/>
      <c r="J2" s="506"/>
      <c r="K2" s="506"/>
      <c r="L2" s="514" t="str">
        <f>PLAN!H3</f>
        <v>DATA: 21/09/26</v>
      </c>
      <c r="M2" s="142"/>
      <c r="N2" s="142"/>
      <c r="O2" s="142"/>
      <c r="P2" s="142"/>
    </row>
    <row r="3" spans="1:16" s="9" customFormat="1" ht="13.9" customHeight="1" x14ac:dyDescent="0.2">
      <c r="A3" s="507" t="str">
        <f>PLAN!A3</f>
        <v>OBRA: SERVIÇOS DE INFRAESTRUTURA</v>
      </c>
      <c r="B3" s="507"/>
      <c r="C3" s="507"/>
      <c r="D3" s="507"/>
      <c r="E3" s="507"/>
      <c r="F3" s="507"/>
      <c r="G3" s="507"/>
      <c r="H3" s="507"/>
      <c r="I3" s="507"/>
      <c r="J3" s="507"/>
      <c r="K3" s="507"/>
      <c r="L3" s="515"/>
      <c r="M3" s="142"/>
      <c r="N3" s="142"/>
      <c r="O3" s="142"/>
      <c r="P3" s="142"/>
    </row>
    <row r="4" spans="1:16" s="9" customFormat="1" ht="13.9" customHeight="1" x14ac:dyDescent="0.2">
      <c r="A4" s="507" t="str">
        <f>PLAN!A4</f>
        <v>LOCAL: ÁREAS PÚBLICAS MUNICIPAIS DE SANTA CRUZ DO ESCALVADO (MG)</v>
      </c>
      <c r="B4" s="507"/>
      <c r="C4" s="507"/>
      <c r="D4" s="507"/>
      <c r="E4" s="507"/>
      <c r="F4" s="507"/>
      <c r="G4" s="507"/>
      <c r="H4" s="507"/>
      <c r="I4" s="507"/>
      <c r="J4" s="507"/>
      <c r="K4" s="507"/>
      <c r="L4" s="516"/>
      <c r="M4" s="142"/>
      <c r="N4" s="142"/>
      <c r="O4" s="142"/>
      <c r="P4" s="142"/>
    </row>
    <row r="5" spans="1:16" s="9" customFormat="1" ht="13.9" customHeight="1" x14ac:dyDescent="0.2">
      <c r="A5" s="145" t="s">
        <v>0</v>
      </c>
      <c r="B5" s="526" t="s">
        <v>132</v>
      </c>
      <c r="C5" s="527"/>
      <c r="D5" s="527"/>
      <c r="E5" s="527"/>
      <c r="F5" s="527"/>
      <c r="G5" s="527"/>
      <c r="H5" s="527"/>
      <c r="I5" s="527"/>
      <c r="J5" s="528"/>
      <c r="K5" s="146" t="s">
        <v>13</v>
      </c>
      <c r="L5" s="146" t="s">
        <v>21</v>
      </c>
      <c r="M5" s="519">
        <f>PLAN!I6</f>
        <v>842254.45</v>
      </c>
      <c r="N5" s="520"/>
      <c r="O5" s="142"/>
      <c r="P5" s="142"/>
    </row>
    <row r="6" spans="1:16" s="9" customFormat="1" ht="13.9" customHeight="1" x14ac:dyDescent="0.2">
      <c r="A6" s="128">
        <f>PLAN!A8</f>
        <v>1</v>
      </c>
      <c r="B6" s="489" t="str">
        <f>PLAN!C8</f>
        <v>ADMINISTRAÇÃO LOCAL</v>
      </c>
      <c r="C6" s="490"/>
      <c r="D6" s="491"/>
      <c r="E6" s="508"/>
      <c r="F6" s="509"/>
      <c r="G6" s="509"/>
      <c r="H6" s="509"/>
      <c r="I6" s="509"/>
      <c r="J6" s="129"/>
      <c r="K6" s="129"/>
      <c r="L6" s="130"/>
      <c r="M6" s="138"/>
      <c r="N6" s="150"/>
      <c r="O6" s="142"/>
      <c r="P6" s="142"/>
    </row>
    <row r="7" spans="1:16" s="9" customFormat="1" ht="13.9" customHeight="1" x14ac:dyDescent="0.2">
      <c r="A7" s="128" t="str">
        <f>PLAN!A9</f>
        <v xml:space="preserve"> 1.1 </v>
      </c>
      <c r="B7" s="489" t="str">
        <f>PLAN!C9</f>
        <v>ENCARREGADO GERAL DE OBRAS COM ENCARGOS COMPLEMENTARES</v>
      </c>
      <c r="C7" s="490"/>
      <c r="D7" s="491"/>
      <c r="E7" s="517" t="s">
        <v>54</v>
      </c>
      <c r="F7" s="518"/>
      <c r="G7" s="518"/>
      <c r="H7" s="518"/>
      <c r="I7" s="518"/>
      <c r="J7" s="131" t="s">
        <v>310</v>
      </c>
      <c r="K7" s="129" t="str">
        <f>PLAN!D9</f>
        <v>MÊS</v>
      </c>
      <c r="L7" s="132">
        <f>ROUND(M7*4*5*N7/220,2)</f>
        <v>2.1800000000000002</v>
      </c>
      <c r="M7" s="521">
        <v>3</v>
      </c>
      <c r="N7" s="133">
        <v>8</v>
      </c>
      <c r="O7" s="147">
        <f>PLAN!J11</f>
        <v>3.3261373685826177E-2</v>
      </c>
      <c r="P7" s="142"/>
    </row>
    <row r="8" spans="1:16" s="9" customFormat="1" ht="13.9" customHeight="1" x14ac:dyDescent="0.2">
      <c r="A8" s="128" t="str">
        <f>PLAN!A10</f>
        <v xml:space="preserve"> 1.2</v>
      </c>
      <c r="B8" s="489" t="str">
        <f>PLAN!C10</f>
        <v>TÉCNICO EM SEGURANÇA DO TRABALHO COM ENCARGOS COMPLEMENTARES</v>
      </c>
      <c r="C8" s="490"/>
      <c r="D8" s="491"/>
      <c r="E8" s="517" t="s">
        <v>54</v>
      </c>
      <c r="F8" s="518"/>
      <c r="G8" s="518"/>
      <c r="H8" s="518"/>
      <c r="I8" s="518"/>
      <c r="J8" s="131" t="s">
        <v>311</v>
      </c>
      <c r="K8" s="129" t="str">
        <f>PLAN!D10</f>
        <v>MÊS</v>
      </c>
      <c r="L8" s="132">
        <f>ROUND(M7*4*5*N8/220,2)</f>
        <v>0.03</v>
      </c>
      <c r="M8" s="522"/>
      <c r="N8" s="133">
        <v>0.1</v>
      </c>
      <c r="O8" s="142"/>
      <c r="P8" s="142"/>
    </row>
    <row r="9" spans="1:16" s="9" customFormat="1" ht="13.9" customHeight="1" x14ac:dyDescent="0.2">
      <c r="A9" s="128" t="str">
        <f>PLAN!A11</f>
        <v xml:space="preserve"> 1.3</v>
      </c>
      <c r="B9" s="489" t="str">
        <f>PLAN!C11</f>
        <v>ENGENHEIRO CIVIL DE OBRA PLENO COM ENCARGOS COMPLEMENTARES</v>
      </c>
      <c r="C9" s="490"/>
      <c r="D9" s="491"/>
      <c r="E9" s="517" t="s">
        <v>54</v>
      </c>
      <c r="F9" s="518"/>
      <c r="G9" s="518"/>
      <c r="H9" s="518"/>
      <c r="I9" s="518"/>
      <c r="J9" s="131" t="s">
        <v>311</v>
      </c>
      <c r="K9" s="129" t="str">
        <f>PLAN!D11</f>
        <v>MÊS</v>
      </c>
      <c r="L9" s="132">
        <f>ROUND(M7*4*5*N9/220,2)</f>
        <v>0.03</v>
      </c>
      <c r="M9" s="523"/>
      <c r="N9" s="133">
        <v>0.1</v>
      </c>
      <c r="O9" s="142"/>
      <c r="P9" s="142"/>
    </row>
    <row r="10" spans="1:16" s="9" customFormat="1" ht="13.9" customHeight="1" x14ac:dyDescent="0.2">
      <c r="A10" s="128">
        <f>PLAN!A12</f>
        <v>2</v>
      </c>
      <c r="B10" s="489" t="str">
        <f>PLAN!C12</f>
        <v>SERVIÇOS PRELIMINARES</v>
      </c>
      <c r="C10" s="490"/>
      <c r="D10" s="491"/>
      <c r="E10" s="508"/>
      <c r="F10" s="509"/>
      <c r="G10" s="509"/>
      <c r="H10" s="509"/>
      <c r="I10" s="509"/>
      <c r="J10" s="129"/>
      <c r="K10" s="129">
        <f>PLAN!D12</f>
        <v>0</v>
      </c>
      <c r="L10" s="130"/>
      <c r="M10" s="138"/>
      <c r="N10" s="150"/>
      <c r="O10" s="142"/>
      <c r="P10" s="142"/>
    </row>
    <row r="11" spans="1:16" s="9" customFormat="1" ht="34.15" customHeight="1" x14ac:dyDescent="0.2">
      <c r="A11" s="128" t="str">
        <f>PLAN!A13</f>
        <v>2.1</v>
      </c>
      <c r="B11" s="489" t="str">
        <f>PLAN!C13</f>
        <v>FORNECIMENTO E COLOCAÇÃO DE PLACA DE OBRA EM CHAPA GALVANIZADA #26, ESP. 0,45 MM, PLOTADA COM ADESIVO VINÍLICO, AFIXADA C/ REBITES 4,8X40 MM, EM ESTRUTURA METÁLICA DE METALON 20X20 MM, ESP. 1,25 MM, INCL SUPORTE EM EUCALIPTO AUTOCLAVADO PINTADO COM TINTA PVA DUAS (2) DEMÃOS</v>
      </c>
      <c r="C11" s="490"/>
      <c r="D11" s="491"/>
      <c r="E11" s="512" t="s">
        <v>114</v>
      </c>
      <c r="F11" s="513"/>
      <c r="G11" s="513"/>
      <c r="H11" s="513"/>
      <c r="I11" s="513"/>
      <c r="J11" s="131" t="s">
        <v>116</v>
      </c>
      <c r="K11" s="129" t="str">
        <f>PLAN!D13</f>
        <v>M2</v>
      </c>
      <c r="L11" s="130">
        <f>1*2</f>
        <v>2</v>
      </c>
      <c r="M11" s="138"/>
      <c r="N11" s="150"/>
      <c r="O11" s="142"/>
      <c r="P11" s="142"/>
    </row>
    <row r="12" spans="1:16" s="9" customFormat="1" ht="13.9" customHeight="1" x14ac:dyDescent="0.2">
      <c r="A12" s="128" t="str">
        <f>PLAN!A14</f>
        <v>2.2</v>
      </c>
      <c r="B12" s="489" t="str">
        <f>PLAN!C14</f>
        <v>MOBILIZAÇÃO E DESMOBILIZAÇÃO OBRA DISTANTE DE CENTRO URBANO OU REGIÃO LIMÍTROFE COM VALOR ATÉ 1.000.000,00</v>
      </c>
      <c r="C12" s="490"/>
      <c r="D12" s="491"/>
      <c r="E12" s="512" t="s">
        <v>125</v>
      </c>
      <c r="F12" s="513"/>
      <c r="G12" s="513"/>
      <c r="H12" s="513"/>
      <c r="I12" s="513"/>
      <c r="J12" s="131" t="s">
        <v>29</v>
      </c>
      <c r="K12" s="129" t="str">
        <f>PLAN!D14</f>
        <v>%</v>
      </c>
      <c r="L12" s="139">
        <v>0.5</v>
      </c>
      <c r="M12" s="138"/>
      <c r="N12" s="150"/>
      <c r="O12" s="142"/>
      <c r="P12" s="142"/>
    </row>
    <row r="13" spans="1:16" s="9" customFormat="1" ht="13.9" customHeight="1" x14ac:dyDescent="0.2">
      <c r="A13" s="128">
        <f>PLAN!A15</f>
        <v>3</v>
      </c>
      <c r="B13" s="489" t="str">
        <f>PLAN!C15</f>
        <v>ÁREA 01 - RUA SAGRADOS CORAÇÕES</v>
      </c>
      <c r="C13" s="490"/>
      <c r="D13" s="491"/>
      <c r="E13" s="508"/>
      <c r="F13" s="509"/>
      <c r="G13" s="509"/>
      <c r="H13" s="509"/>
      <c r="I13" s="509"/>
      <c r="J13" s="131"/>
      <c r="K13" s="129">
        <f>PLAN!D15</f>
        <v>0</v>
      </c>
      <c r="L13" s="139"/>
      <c r="M13" s="138"/>
      <c r="N13" s="150"/>
      <c r="O13" s="142"/>
      <c r="P13" s="142"/>
    </row>
    <row r="14" spans="1:16" s="9" customFormat="1" ht="13.9" customHeight="1" x14ac:dyDescent="0.2">
      <c r="A14" s="128" t="str">
        <f>PLAN!A16</f>
        <v>3.1</v>
      </c>
      <c r="B14" s="489" t="str">
        <f>PLAN!C16</f>
        <v>DEMOLIÇÕES E REMOÇÕES</v>
      </c>
      <c r="C14" s="490"/>
      <c r="D14" s="491"/>
      <c r="E14" s="508"/>
      <c r="F14" s="509"/>
      <c r="G14" s="509"/>
      <c r="H14" s="509"/>
      <c r="I14" s="509"/>
      <c r="J14" s="131"/>
      <c r="K14" s="129">
        <f>PLAN!D16</f>
        <v>0</v>
      </c>
      <c r="L14" s="139"/>
      <c r="M14" s="138"/>
      <c r="N14" s="150"/>
      <c r="O14" s="142"/>
      <c r="P14" s="142"/>
    </row>
    <row r="15" spans="1:16" s="9" customFormat="1" ht="13.9" customHeight="1" x14ac:dyDescent="0.2">
      <c r="A15" s="128" t="str">
        <f>PLAN!A17</f>
        <v>3.1.1</v>
      </c>
      <c r="B15" s="489" t="str">
        <f>PLAN!C17</f>
        <v xml:space="preserve">REMOÇÃO DE MEIO FIO PRÉ MOLDADO DE CONCRETO </v>
      </c>
      <c r="C15" s="490"/>
      <c r="D15" s="491"/>
      <c r="E15" s="512" t="s">
        <v>296</v>
      </c>
      <c r="F15" s="513"/>
      <c r="G15" s="513"/>
      <c r="H15" s="513"/>
      <c r="I15" s="513"/>
      <c r="J15" s="131" t="str">
        <f>E15</f>
        <v>comprimento existente CAD</v>
      </c>
      <c r="K15" s="129" t="str">
        <f>PLAN!D17</f>
        <v>M</v>
      </c>
      <c r="L15" s="139">
        <v>46.55</v>
      </c>
      <c r="M15" s="138"/>
      <c r="N15" s="150"/>
      <c r="O15" s="142"/>
      <c r="P15" s="142"/>
    </row>
    <row r="16" spans="1:16" s="9" customFormat="1" ht="24" customHeight="1" x14ac:dyDescent="0.2">
      <c r="A16" s="128" t="str">
        <f>PLAN!A18</f>
        <v>3.1.2</v>
      </c>
      <c r="B16" s="489" t="str">
        <f>PLAN!C18</f>
        <v>DEMOLIÇÃO MECANIZADA DE CONCRETO, SEM ARMAÇÃO, COM EQUIPAMENTO ELÉTRICO, INCLUSIVE AFASTAMENTO E EMPILHAMENTO, EXCLUSIVE TRANSPORTE E RETIRADA DO MATERIAL DEMOLIDO</v>
      </c>
      <c r="C16" s="490"/>
      <c r="D16" s="491"/>
      <c r="E16" s="512" t="s">
        <v>270</v>
      </c>
      <c r="F16" s="513"/>
      <c r="G16" s="513"/>
      <c r="H16" s="513"/>
      <c r="I16" s="513"/>
      <c r="J16" s="131" t="str">
        <f>E16</f>
        <v>volume de concreto a ser demolido</v>
      </c>
      <c r="K16" s="129" t="str">
        <f>PLAN!D18</f>
        <v>M3</v>
      </c>
      <c r="L16" s="139">
        <f>ROUND(20*0.15,2)</f>
        <v>3</v>
      </c>
      <c r="M16" s="136"/>
      <c r="N16" s="136"/>
      <c r="O16" s="142"/>
      <c r="P16" s="142"/>
    </row>
    <row r="17" spans="1:18" s="9" customFormat="1" ht="24" customHeight="1" x14ac:dyDescent="0.2">
      <c r="A17" s="128" t="str">
        <f>PLAN!A19</f>
        <v>3.1.3</v>
      </c>
      <c r="B17" s="489" t="str">
        <f>PLAN!C19</f>
        <v>TRANSPORTE DE MATERIAL DE QUALQUER NATUREZA COM CARRINHO DE MÃO, COM DISTÂNCIAS MENORES OU IGUAIS A 50M, INCLUSIVE CARGA/DESCARGA</v>
      </c>
      <c r="C17" s="490"/>
      <c r="D17" s="491"/>
      <c r="E17" s="524" t="s">
        <v>271</v>
      </c>
      <c r="F17" s="525"/>
      <c r="G17" s="525"/>
      <c r="H17" s="525"/>
      <c r="I17" s="525"/>
      <c r="J17" s="412" t="str">
        <f>E17</f>
        <v>transporte do volume de material demolido</v>
      </c>
      <c r="K17" s="129" t="str">
        <f>PLAN!D19</f>
        <v>M3</v>
      </c>
      <c r="L17" s="139">
        <f>ROUND((L15*0.3*0.15)+L16,2)</f>
        <v>5.09</v>
      </c>
      <c r="M17" s="138"/>
      <c r="N17" s="150"/>
      <c r="O17" s="142"/>
      <c r="P17" s="142"/>
    </row>
    <row r="18" spans="1:18" s="9" customFormat="1" ht="24" customHeight="1" x14ac:dyDescent="0.2">
      <c r="A18" s="128" t="str">
        <f>PLAN!A20</f>
        <v>3.1.4</v>
      </c>
      <c r="B18" s="489" t="str">
        <f>PLAN!C20</f>
        <v>TRANSPORTE DE MATERIAL DE QUALQUER NATUREZA EM CAMINHÃO, DISTÂNCIA MAIOR QUE 1KM E MENOR OU IGUAL A 2KM, DENTRO DO PERÍMETRO URBANO, EXCLUSIVE CARGA, INCLUSIVE DESCARGA</v>
      </c>
      <c r="C18" s="490"/>
      <c r="D18" s="491"/>
      <c r="E18" s="495" t="s">
        <v>345</v>
      </c>
      <c r="F18" s="494"/>
      <c r="G18" s="494"/>
      <c r="H18" s="494"/>
      <c r="I18" s="494"/>
      <c r="J18" s="413" t="str">
        <f>E18</f>
        <v>volume de material demolido x distância de transporte 2km</v>
      </c>
      <c r="K18" s="129" t="str">
        <f>PLAN!D20</f>
        <v>M3xKM</v>
      </c>
      <c r="L18" s="139">
        <f>ROUND(L17*2,2)</f>
        <v>10.18</v>
      </c>
      <c r="M18" s="136"/>
      <c r="N18" s="136"/>
      <c r="O18" s="148"/>
      <c r="P18" s="142"/>
    </row>
    <row r="19" spans="1:18" s="9" customFormat="1" ht="13.9" customHeight="1" x14ac:dyDescent="0.2">
      <c r="A19" s="128" t="str">
        <f>PLAN!A21</f>
        <v>3.2</v>
      </c>
      <c r="B19" s="489" t="str">
        <f>PLAN!C21</f>
        <v>EXECUÇÃO DE CANTEIROS</v>
      </c>
      <c r="C19" s="490"/>
      <c r="D19" s="491"/>
      <c r="E19" s="510"/>
      <c r="F19" s="511"/>
      <c r="G19" s="511"/>
      <c r="H19" s="511"/>
      <c r="I19" s="511"/>
      <c r="J19" s="134"/>
      <c r="K19" s="129">
        <f>PLAN!D21</f>
        <v>0</v>
      </c>
      <c r="L19" s="139"/>
      <c r="M19" s="136"/>
      <c r="N19" s="136"/>
      <c r="O19" s="409"/>
      <c r="P19" s="148"/>
    </row>
    <row r="20" spans="1:18" s="9" customFormat="1" ht="13.9" customHeight="1" x14ac:dyDescent="0.2">
      <c r="A20" s="128" t="str">
        <f>PLAN!A22</f>
        <v>3.2.1</v>
      </c>
      <c r="B20" s="489" t="str">
        <f>PLAN!C22</f>
        <v>ESCAVAÇÃO MANUAL DE VALA COM PROFUNDIDADE MENOR OU IGUAL A 1,5M, INCLUSIVE DESCARGA LATERAL</v>
      </c>
      <c r="C20" s="490"/>
      <c r="D20" s="491"/>
      <c r="E20" s="524" t="s">
        <v>297</v>
      </c>
      <c r="F20" s="525"/>
      <c r="G20" s="525"/>
      <c r="H20" s="525"/>
      <c r="I20" s="525"/>
      <c r="J20" s="415" t="str">
        <f>E20</f>
        <v>escavação de vala p/ execução da cinta CAD</v>
      </c>
      <c r="K20" s="129" t="str">
        <f>PLAN!D22</f>
        <v>M3</v>
      </c>
      <c r="L20" s="139">
        <f>ROUND(M22*0.2*0.15,2)</f>
        <v>1.77</v>
      </c>
      <c r="M20" s="138"/>
      <c r="N20" s="150"/>
      <c r="O20" s="142"/>
      <c r="P20" s="142"/>
    </row>
    <row r="21" spans="1:18" s="9" customFormat="1" ht="13.9" customHeight="1" x14ac:dyDescent="0.2">
      <c r="A21" s="128" t="str">
        <f>PLAN!A23</f>
        <v>3.2.2</v>
      </c>
      <c r="B21" s="489" t="str">
        <f>PLAN!C23</f>
        <v>CINTA EM CONCRETO ARMADO</v>
      </c>
      <c r="C21" s="490"/>
      <c r="D21" s="491"/>
      <c r="E21" s="495"/>
      <c r="F21" s="494"/>
      <c r="G21" s="494"/>
      <c r="H21" s="494"/>
      <c r="I21" s="494"/>
      <c r="J21" s="131"/>
      <c r="K21" s="129">
        <f>PLAN!D23</f>
        <v>0</v>
      </c>
      <c r="L21" s="139"/>
      <c r="M21" s="136"/>
      <c r="N21" s="136"/>
      <c r="O21" s="142"/>
      <c r="P21" s="142"/>
    </row>
    <row r="22" spans="1:18" s="9" customFormat="1" ht="13.9" customHeight="1" x14ac:dyDescent="0.2">
      <c r="A22" s="128" t="str">
        <f>PLAN!A24</f>
        <v>3.2.2.1</v>
      </c>
      <c r="B22" s="489" t="str">
        <f>PLAN!C24</f>
        <v>FÔRMA E DESFORMA DE TÁBUA E SARRAFO, REAPROVEITAMENTO (3X), EXCLUSIVE ESCORAMENTO</v>
      </c>
      <c r="C22" s="490"/>
      <c r="D22" s="491"/>
      <c r="E22" s="495" t="s">
        <v>273</v>
      </c>
      <c r="F22" s="494"/>
      <c r="G22" s="494"/>
      <c r="H22" s="494"/>
      <c r="I22" s="494"/>
      <c r="J22" s="131" t="s">
        <v>274</v>
      </c>
      <c r="K22" s="129" t="str">
        <f>PLAN!D24</f>
        <v>M2</v>
      </c>
      <c r="L22" s="139">
        <f>ROUND(M22*N22*2,2)</f>
        <v>35.4</v>
      </c>
      <c r="M22" s="139">
        <f>ROUND((3.78+5.6+4.02)*2+0.41*2+(4.07+11.26+3.01+9.12+3.92),2)</f>
        <v>59</v>
      </c>
      <c r="N22" s="135">
        <v>0.3</v>
      </c>
      <c r="O22" s="142"/>
      <c r="P22" s="142"/>
    </row>
    <row r="23" spans="1:18" s="9" customFormat="1" ht="13.9" customHeight="1" x14ac:dyDescent="0.2">
      <c r="A23" s="128" t="str">
        <f>PLAN!A25</f>
        <v>3.2.2.2</v>
      </c>
      <c r="B23" s="489" t="str">
        <f>PLAN!C25</f>
        <v>CORTE, DOBRA E ARMAÇÃO DE AÇO CA-50/60</v>
      </c>
      <c r="C23" s="490"/>
      <c r="D23" s="491"/>
      <c r="E23" s="495" t="s">
        <v>275</v>
      </c>
      <c r="F23" s="494"/>
      <c r="G23" s="494"/>
      <c r="H23" s="494"/>
      <c r="I23" s="494"/>
      <c r="J23" s="413" t="str">
        <f>E23</f>
        <v>peso de aço = volume de concreto x 30kg/m3</v>
      </c>
      <c r="K23" s="129" t="str">
        <f>PLAN!D25</f>
        <v>KG</v>
      </c>
      <c r="L23" s="139">
        <f>ROUND(L24*30,2)</f>
        <v>79.8</v>
      </c>
      <c r="M23" s="138"/>
      <c r="N23" s="150"/>
      <c r="O23" s="142"/>
      <c r="P23" s="142"/>
    </row>
    <row r="24" spans="1:18" s="9" customFormat="1" ht="13.9" customHeight="1" x14ac:dyDescent="0.2">
      <c r="A24" s="128" t="str">
        <f>PLAN!A26</f>
        <v>3.2.2.3</v>
      </c>
      <c r="B24" s="489" t="str">
        <f>PLAN!C26</f>
        <v>FORNECIMENTO CONCRETO ESTRUTURAL, PREPARADO OBRA, COM FCK 25 MPA, INCL LANÇAMENTO, ADENSAMENTO E ACABAMENTO</v>
      </c>
      <c r="C24" s="490"/>
      <c r="D24" s="491"/>
      <c r="E24" s="495" t="s">
        <v>276</v>
      </c>
      <c r="F24" s="494"/>
      <c r="G24" s="494"/>
      <c r="H24" s="494"/>
      <c r="I24" s="494"/>
      <c r="J24" s="137" t="s">
        <v>277</v>
      </c>
      <c r="K24" s="129" t="str">
        <f>PLAN!D26</f>
        <v>M3</v>
      </c>
      <c r="L24" s="139">
        <f>ROUND(M24*N24*O24,2)</f>
        <v>2.66</v>
      </c>
      <c r="M24" s="135">
        <f>M22</f>
        <v>59</v>
      </c>
      <c r="N24" s="135">
        <f>N22</f>
        <v>0.3</v>
      </c>
      <c r="O24" s="414">
        <v>0.15</v>
      </c>
      <c r="P24" s="142"/>
    </row>
    <row r="25" spans="1:18" s="9" customFormat="1" ht="24" customHeight="1" x14ac:dyDescent="0.2">
      <c r="A25" s="128" t="str">
        <f>PLAN!A27</f>
        <v>3.2.2.4</v>
      </c>
      <c r="B25" s="489" t="str">
        <f>PLAN!C27</f>
        <v>GUIA DE CORDÃO BOLEADO, EM CONCRETO COM FCK 20MPA, PRÉ MOLDADA, 10X10CM (ALTURA X LARGURA), INCLUSIVE UMA (1) FIADA DE BLOCO DE CONCRETO, ESP. 9CM, ESCAVAÇÃO, APILOAMENTO E TRANSPORTE COM RETIRADA DO MATERIAL ESCAVADO (EM CAÇAMBA)</v>
      </c>
      <c r="C25" s="490"/>
      <c r="D25" s="491"/>
      <c r="E25" s="495" t="s">
        <v>301</v>
      </c>
      <c r="F25" s="494"/>
      <c r="G25" s="494"/>
      <c r="H25" s="494"/>
      <c r="I25" s="494"/>
      <c r="J25" s="413" t="str">
        <f>E25</f>
        <v>comprimento de cinta</v>
      </c>
      <c r="K25" s="129" t="str">
        <f>PLAN!D27</f>
        <v>M</v>
      </c>
      <c r="L25" s="139">
        <f>M25</f>
        <v>59</v>
      </c>
      <c r="M25" s="135">
        <f>M22</f>
        <v>59</v>
      </c>
      <c r="N25" s="136"/>
      <c r="O25" s="142"/>
      <c r="P25" s="142"/>
    </row>
    <row r="26" spans="1:18" s="9" customFormat="1" ht="13.9" customHeight="1" x14ac:dyDescent="0.2">
      <c r="A26" s="128" t="str">
        <f>PLAN!A28</f>
        <v>3.3</v>
      </c>
      <c r="B26" s="489" t="str">
        <f>PLAN!C28</f>
        <v>PAISAGISMO</v>
      </c>
      <c r="C26" s="490"/>
      <c r="D26" s="491"/>
      <c r="E26" s="495"/>
      <c r="F26" s="494"/>
      <c r="G26" s="494"/>
      <c r="H26" s="494"/>
      <c r="I26" s="494"/>
      <c r="J26" s="413"/>
      <c r="K26" s="129">
        <f>PLAN!D28</f>
        <v>0</v>
      </c>
      <c r="L26" s="139"/>
      <c r="M26" s="136"/>
      <c r="N26" s="136"/>
      <c r="O26" s="142"/>
      <c r="P26" s="142"/>
    </row>
    <row r="27" spans="1:18" s="9" customFormat="1" ht="13.9" customHeight="1" x14ac:dyDescent="0.2">
      <c r="A27" s="128" t="str">
        <f>PLAN!A29</f>
        <v>3.3.1</v>
      </c>
      <c r="B27" s="489" t="str">
        <f>PLAN!C29</f>
        <v>PLANTIO DE GRAMA ESMERALDA EM PLACAS, INCLUSIVE TERRA VEGETAL E CONSERVAÇÃO POR TRINTA (30) DIAS</v>
      </c>
      <c r="C27" s="490"/>
      <c r="D27" s="491"/>
      <c r="E27" s="495" t="s">
        <v>302</v>
      </c>
      <c r="F27" s="494"/>
      <c r="G27" s="494"/>
      <c r="H27" s="494"/>
      <c r="I27" s="494"/>
      <c r="J27" s="415" t="str">
        <f>E27</f>
        <v>áreas de canteiros</v>
      </c>
      <c r="K27" s="129" t="str">
        <f>PLAN!D29</f>
        <v>M2</v>
      </c>
      <c r="L27" s="139">
        <f>ROUND((M27*N27)+O27,2)</f>
        <v>74.34</v>
      </c>
      <c r="M27" s="135">
        <f>M22</f>
        <v>59</v>
      </c>
      <c r="N27" s="135">
        <v>0.4</v>
      </c>
      <c r="O27" s="135">
        <v>50.74</v>
      </c>
      <c r="P27" s="143"/>
      <c r="Q27" s="97"/>
      <c r="R27" s="97"/>
    </row>
    <row r="28" spans="1:18" s="9" customFormat="1" ht="13.9" customHeight="1" x14ac:dyDescent="0.2">
      <c r="A28" s="128" t="str">
        <f>PLAN!A30</f>
        <v>3.3.2</v>
      </c>
      <c r="B28" s="489" t="str">
        <f>PLAN!C30</f>
        <v>FORNECIMENTO DE ARBUSTO BELA EMÍLIA COM ALTURA MÍNIMA DE 15CM, EXCLUSIVE PLANTIO</v>
      </c>
      <c r="C28" s="490"/>
      <c r="D28" s="491"/>
      <c r="E28" s="495" t="s">
        <v>279</v>
      </c>
      <c r="F28" s="494"/>
      <c r="G28" s="494"/>
      <c r="H28" s="494"/>
      <c r="I28" s="494"/>
      <c r="J28" s="131" t="s">
        <v>279</v>
      </c>
      <c r="K28" s="129" t="str">
        <f>PLAN!D30</f>
        <v>UNID</v>
      </c>
      <c r="L28" s="139">
        <v>10</v>
      </c>
      <c r="M28" s="138"/>
      <c r="N28" s="150"/>
      <c r="O28" s="142"/>
      <c r="P28" s="142"/>
    </row>
    <row r="29" spans="1:18" s="9" customFormat="1" ht="13.9" customHeight="1" x14ac:dyDescent="0.2">
      <c r="A29" s="128" t="str">
        <f>PLAN!A31</f>
        <v>3.3.3</v>
      </c>
      <c r="B29" s="489" t="str">
        <f>PLAN!C31</f>
        <v>PLANTIO E PREPARO DE COVAS DE ARBUSTOS ORNAMENTAIS EM GERAL, EXCETO FORNECIMENTO DAS MUDAS</v>
      </c>
      <c r="C29" s="490"/>
      <c r="D29" s="491"/>
      <c r="E29" s="495" t="s">
        <v>279</v>
      </c>
      <c r="F29" s="494"/>
      <c r="G29" s="494"/>
      <c r="H29" s="494"/>
      <c r="I29" s="494"/>
      <c r="J29" s="131" t="s">
        <v>279</v>
      </c>
      <c r="K29" s="129" t="str">
        <f>PLAN!D31</f>
        <v>UNID</v>
      </c>
      <c r="L29" s="139">
        <f>L28</f>
        <v>10</v>
      </c>
      <c r="M29" s="136"/>
      <c r="N29" s="136"/>
      <c r="O29" s="136"/>
      <c r="P29" s="142"/>
    </row>
    <row r="30" spans="1:18" s="9" customFormat="1" ht="13.9" customHeight="1" x14ac:dyDescent="0.2">
      <c r="A30" s="128" t="str">
        <f>PLAN!A32</f>
        <v>3.4</v>
      </c>
      <c r="B30" s="489" t="str">
        <f>PLAN!C32</f>
        <v>DRENAGEM PLUVIAL</v>
      </c>
      <c r="C30" s="490"/>
      <c r="D30" s="491"/>
      <c r="E30" s="495"/>
      <c r="F30" s="494"/>
      <c r="G30" s="494"/>
      <c r="H30" s="494"/>
      <c r="I30" s="494"/>
      <c r="J30" s="137"/>
      <c r="K30" s="129">
        <f>PLAN!D32</f>
        <v>0</v>
      </c>
      <c r="L30" s="139"/>
      <c r="M30" s="136"/>
      <c r="N30" s="136"/>
      <c r="O30" s="142"/>
      <c r="P30" s="142"/>
    </row>
    <row r="31" spans="1:18" s="9" customFormat="1" ht="24" customHeight="1" x14ac:dyDescent="0.2">
      <c r="A31" s="128" t="str">
        <f>PLAN!A33</f>
        <v>3.4.1</v>
      </c>
      <c r="B31" s="489" t="str">
        <f>PLAN!C33</f>
        <v>ESCAVAÇÃO MECÂNICA DE VALAS COM PROFUNDIDADE MENOR OU IGUAL A 1,5M, INCLUSIVE CARGA EM CAMINHÃO, EXCLUSIVE TRANSPORTE E DESCARGA</v>
      </c>
      <c r="C31" s="490"/>
      <c r="D31" s="491"/>
      <c r="E31" s="495" t="s">
        <v>281</v>
      </c>
      <c r="F31" s="494"/>
      <c r="G31" s="494"/>
      <c r="H31" s="494"/>
      <c r="I31" s="494"/>
      <c r="J31" s="137" t="s">
        <v>277</v>
      </c>
      <c r="K31" s="129" t="str">
        <f>PLAN!D33</f>
        <v>M3</v>
      </c>
      <c r="L31" s="139">
        <f>ROUND(M31*N31*O31,2)</f>
        <v>1.08</v>
      </c>
      <c r="M31" s="416">
        <v>1.1200000000000001</v>
      </c>
      <c r="N31" s="140">
        <v>0.8</v>
      </c>
      <c r="O31" s="140">
        <v>1.2</v>
      </c>
      <c r="P31" s="142"/>
    </row>
    <row r="32" spans="1:18" s="9" customFormat="1" ht="24" customHeight="1" x14ac:dyDescent="0.2">
      <c r="A32" s="128" t="str">
        <f>PLAN!A34</f>
        <v>3.4.2</v>
      </c>
      <c r="B32" s="489" t="str">
        <f>PLAN!C34</f>
        <v>TRANSPORTE DE MATERIAL DE QUALQUER NATUREZA EM CAMINHÃO, DISTÂNCIA MAIOR QUE 1KM E MENOR OU IGUAL A 2KM, DENTRO DO PERÍMETRO URBANO, EXCLUSIVE CARGA, INCLUSIVE DESCARGA</v>
      </c>
      <c r="C32" s="490"/>
      <c r="D32" s="491"/>
      <c r="E32" s="492" t="s">
        <v>346</v>
      </c>
      <c r="F32" s="493"/>
      <c r="G32" s="494"/>
      <c r="H32" s="494"/>
      <c r="I32" s="494"/>
      <c r="J32" s="415" t="str">
        <f>E32</f>
        <v>volume de material x distância de transporte 2km</v>
      </c>
      <c r="K32" s="129" t="str">
        <f>PLAN!D34</f>
        <v>M3xKM</v>
      </c>
      <c r="L32" s="139">
        <f>ROUND(L31*2,2)</f>
        <v>2.16</v>
      </c>
      <c r="M32" s="141"/>
      <c r="N32" s="151"/>
      <c r="O32" s="142"/>
      <c r="P32" s="142"/>
    </row>
    <row r="33" spans="1:16" s="9" customFormat="1" ht="13.9" customHeight="1" x14ac:dyDescent="0.2">
      <c r="A33" s="128" t="str">
        <f>PLAN!A35</f>
        <v>3.4.3</v>
      </c>
      <c r="B33" s="489" t="str">
        <f>PLAN!C35</f>
        <v>APILOAMENTO DO FUNDO DE VALAS COM PLACA VIBRATÓRIA</v>
      </c>
      <c r="C33" s="490"/>
      <c r="D33" s="491"/>
      <c r="E33" s="492" t="s">
        <v>376</v>
      </c>
      <c r="F33" s="493"/>
      <c r="G33" s="494"/>
      <c r="H33" s="494"/>
      <c r="I33" s="494"/>
      <c r="J33" s="131" t="s">
        <v>283</v>
      </c>
      <c r="K33" s="129" t="str">
        <f>PLAN!D35</f>
        <v>M2</v>
      </c>
      <c r="L33" s="411">
        <f>ROUND(L34*O31,2)</f>
        <v>1.34</v>
      </c>
      <c r="M33" s="138"/>
      <c r="N33" s="151"/>
      <c r="O33" s="142"/>
      <c r="P33" s="142"/>
    </row>
    <row r="34" spans="1:16" s="9" customFormat="1" ht="24" customHeight="1" x14ac:dyDescent="0.2">
      <c r="A34" s="128" t="str">
        <f>PLAN!A36</f>
        <v>3.4.4</v>
      </c>
      <c r="B34" s="489" t="str">
        <f>PLAN!C36</f>
        <v>TUBO DE CONCRETO ARMADO, CLASSE PA1, DIÂMETRO DE 400MM, INCLUSIVE CARGA E DESCARGA MECÂNICA EM CAMINHÃO, ASSENTAMENTO E REJUNTAMENTO, EXCLUSIVE ESCAVAÇÃO E TRANSPORTE</v>
      </c>
      <c r="C34" s="490"/>
      <c r="D34" s="491"/>
      <c r="E34" s="502" t="s">
        <v>282</v>
      </c>
      <c r="F34" s="502"/>
      <c r="G34" s="502"/>
      <c r="H34" s="502"/>
      <c r="I34" s="502"/>
      <c r="J34" s="131" t="s">
        <v>280</v>
      </c>
      <c r="K34" s="129" t="str">
        <f>PLAN!D36</f>
        <v>M</v>
      </c>
      <c r="L34" s="139">
        <f>M31</f>
        <v>1.1200000000000001</v>
      </c>
      <c r="M34" s="141"/>
      <c r="N34" s="141"/>
      <c r="O34" s="142"/>
      <c r="P34" s="142"/>
    </row>
    <row r="35" spans="1:16" s="9" customFormat="1" ht="24" customHeight="1" x14ac:dyDescent="0.2">
      <c r="A35" s="128" t="str">
        <f>PLAN!A37</f>
        <v>3.4.5</v>
      </c>
      <c r="B35" s="489" t="str">
        <f>PLAN!C37</f>
        <v>REATERRO COMPACTADO DE VALA COM EQUIPAMENTO PLACA VIBRATÓRIA</v>
      </c>
      <c r="C35" s="490"/>
      <c r="D35" s="491"/>
      <c r="E35" s="496" t="s">
        <v>377</v>
      </c>
      <c r="F35" s="497"/>
      <c r="G35" s="497"/>
      <c r="H35" s="497"/>
      <c r="I35" s="497"/>
      <c r="J35" s="131" t="s">
        <v>295</v>
      </c>
      <c r="K35" s="129" t="str">
        <f>PLAN!D37</f>
        <v>M3</v>
      </c>
      <c r="L35" s="139">
        <f>ROUND(M35*N31*O31-M35*3.14*0.4*0.4*0.25,2)</f>
        <v>0.93</v>
      </c>
      <c r="M35" s="140">
        <f>M31</f>
        <v>1.1200000000000001</v>
      </c>
      <c r="N35" s="141"/>
      <c r="O35" s="141"/>
      <c r="P35" s="142"/>
    </row>
    <row r="36" spans="1:16" s="9" customFormat="1" ht="24" customHeight="1" x14ac:dyDescent="0.2">
      <c r="A36" s="128" t="str">
        <f>PLAN!A38</f>
        <v>3.4.6</v>
      </c>
      <c r="B36" s="489" t="str">
        <f>PLAN!C38</f>
        <v>Boca de Lobo Simples combinada com grelha, quadro e cantoneira pré moldados de concreto   BLS 01 areia e brita comerciais (Execução, incluindo escavação, fornecimento, carga e transporte de todos os materiais)   (Caderno de Drenagem RT 01.47.d)</v>
      </c>
      <c r="C36" s="490"/>
      <c r="D36" s="491"/>
      <c r="E36" s="495" t="s">
        <v>279</v>
      </c>
      <c r="F36" s="494"/>
      <c r="G36" s="494"/>
      <c r="H36" s="494"/>
      <c r="I36" s="494"/>
      <c r="J36" s="137" t="s">
        <v>279</v>
      </c>
      <c r="K36" s="129" t="str">
        <f>PLAN!D38</f>
        <v>UNID</v>
      </c>
      <c r="L36" s="139">
        <v>1</v>
      </c>
      <c r="M36" s="138"/>
      <c r="N36" s="151"/>
      <c r="O36" s="142"/>
      <c r="P36" s="142"/>
    </row>
    <row r="37" spans="1:16" s="9" customFormat="1" ht="13.9" customHeight="1" x14ac:dyDescent="0.2">
      <c r="A37" s="128" t="str">
        <f>PLAN!A39</f>
        <v>3.5</v>
      </c>
      <c r="B37" s="489" t="str">
        <f>PLAN!C39</f>
        <v>PAVIMENTAÇÃO</v>
      </c>
      <c r="C37" s="490"/>
      <c r="D37" s="491"/>
      <c r="E37" s="492"/>
      <c r="F37" s="493"/>
      <c r="G37" s="494"/>
      <c r="H37" s="494"/>
      <c r="I37" s="494"/>
      <c r="J37" s="131"/>
      <c r="K37" s="129">
        <f>PLAN!D39</f>
        <v>0</v>
      </c>
      <c r="L37" s="411"/>
      <c r="M37" s="138"/>
      <c r="N37" s="151"/>
      <c r="O37" s="142"/>
      <c r="P37" s="142"/>
    </row>
    <row r="38" spans="1:16" s="9" customFormat="1" ht="24" customHeight="1" x14ac:dyDescent="0.2">
      <c r="A38" s="128" t="str">
        <f>PLAN!A40</f>
        <v>3.5.1</v>
      </c>
      <c r="B38" s="489" t="str">
        <f>PLAN!C40</f>
        <v>GUIA DE MEIO FIO, EM CONCRETO COM FCK 20MPA, PRÉ MOLDADA, MFC 01 PADRÃO DER MG, DIMENSÕES (12X16,7X35)CM, EXCLUSIVE SARJETA, INCLUSIVE ESCAVAÇÃO, APILOAMENTO E TRANSPORTE COM RETIRADA DO MATERIAL ESCAVADO (EM CAÇAMBA)</v>
      </c>
      <c r="C38" s="490"/>
      <c r="D38" s="491"/>
      <c r="E38" s="492" t="s">
        <v>298</v>
      </c>
      <c r="F38" s="493"/>
      <c r="G38" s="494"/>
      <c r="H38" s="494"/>
      <c r="I38" s="494"/>
      <c r="J38" s="413" t="str">
        <f>E38</f>
        <v>comprimento CAD</v>
      </c>
      <c r="K38" s="129" t="str">
        <f>PLAN!D40</f>
        <v>M</v>
      </c>
      <c r="L38" s="139">
        <v>46.55</v>
      </c>
      <c r="M38" s="141"/>
      <c r="N38" s="141"/>
      <c r="O38" s="142"/>
      <c r="P38" s="142"/>
    </row>
    <row r="39" spans="1:16" s="9" customFormat="1" ht="24" customHeight="1" x14ac:dyDescent="0.2">
      <c r="A39" s="128" t="str">
        <f>PLAN!A41</f>
        <v>3.5.2</v>
      </c>
      <c r="B39" s="489" t="str">
        <f>PLAN!C41</f>
        <v>EXECUÇÃO DE PAVIMENTO COM PISO INTERTRAVADO, TIPO RETANGULAR, ESP. 6CM, COM FCK DE 35MPA, INCLUSIVE COLCHÃO DE AREIA, ESP. 6CM, PARA ASSENTAMENTO, COMPACTAÇÃO MECANIZADA, CARGA E DESCARGA MECÂNICA EM CAMINHÃO, EXCLUSIVE TRANSPORTE DE PISO INTERTRAVADO</v>
      </c>
      <c r="C39" s="490"/>
      <c r="D39" s="491"/>
      <c r="E39" s="492" t="s">
        <v>284</v>
      </c>
      <c r="F39" s="493"/>
      <c r="G39" s="494"/>
      <c r="H39" s="494"/>
      <c r="I39" s="494"/>
      <c r="J39" s="131" t="s">
        <v>355</v>
      </c>
      <c r="K39" s="129" t="str">
        <f>PLAN!D41</f>
        <v>M2</v>
      </c>
      <c r="L39" s="139">
        <v>33.799999999999997</v>
      </c>
      <c r="M39" s="141"/>
      <c r="N39" s="141"/>
      <c r="O39" s="142"/>
      <c r="P39" s="142"/>
    </row>
    <row r="40" spans="1:16" s="9" customFormat="1" ht="24" customHeight="1" x14ac:dyDescent="0.2">
      <c r="A40" s="128" t="str">
        <f>PLAN!A42</f>
        <v>3.5.3</v>
      </c>
      <c r="B40" s="489" t="str">
        <f>PLAN!C42</f>
        <v>EXECUÇÃO DE PAVIMENTO COM PISO INTERTRAVADO, TIPO RETANGULAR, ESP. 10CM, COM FCK DE 35MPA, INCLUSIVE COLCHÃO DE AREIA, ESP. 6CM, PARA ASSENTAMENTO, COMPACTAÇÃO MECANIZADA, CARGA E DESCARGA MECÂNICA EM CAMINHÃO, EXCLUSIVE TRANSPORTE DE PISO INTERTRAVADO</v>
      </c>
      <c r="C40" s="490"/>
      <c r="D40" s="491"/>
      <c r="E40" s="492" t="s">
        <v>284</v>
      </c>
      <c r="F40" s="493"/>
      <c r="G40" s="494"/>
      <c r="H40" s="494"/>
      <c r="I40" s="494"/>
      <c r="J40" s="131" t="s">
        <v>354</v>
      </c>
      <c r="K40" s="129" t="str">
        <f>PLAN!D42</f>
        <v>M2</v>
      </c>
      <c r="L40" s="139">
        <f>383.24+L39</f>
        <v>417.04</v>
      </c>
      <c r="M40" s="138"/>
      <c r="N40" s="150"/>
      <c r="O40" s="142"/>
      <c r="P40" s="142"/>
    </row>
    <row r="41" spans="1:16" s="9" customFormat="1" ht="13.9" customHeight="1" x14ac:dyDescent="0.2">
      <c r="A41" s="128" t="str">
        <f>PLAN!A43</f>
        <v>3.6</v>
      </c>
      <c r="B41" s="489" t="str">
        <f>PLAN!C43</f>
        <v>GUARDA CORPO FIXADO EM CINTA DE CONCRETO ARMADO</v>
      </c>
      <c r="C41" s="490"/>
      <c r="D41" s="491"/>
      <c r="E41" s="492"/>
      <c r="F41" s="493"/>
      <c r="G41" s="494"/>
      <c r="H41" s="494"/>
      <c r="I41" s="494"/>
      <c r="J41" s="98"/>
      <c r="K41" s="129">
        <f>PLAN!D43</f>
        <v>0</v>
      </c>
      <c r="L41" s="139"/>
      <c r="M41" s="138"/>
      <c r="N41" s="150"/>
      <c r="O41" s="142"/>
      <c r="P41" s="142"/>
    </row>
    <row r="42" spans="1:16" s="9" customFormat="1" ht="13.9" customHeight="1" x14ac:dyDescent="0.2">
      <c r="A42" s="128" t="str">
        <f>PLAN!A44</f>
        <v>3.6.1</v>
      </c>
      <c r="B42" s="489" t="str">
        <f>PLAN!C44</f>
        <v>FÔRMA E DESFORMA DE TÁBUA E SARRAFO, REAPROVEITAMENTO (3X), EXCLUSIVE ESCORAMENTO</v>
      </c>
      <c r="C42" s="490"/>
      <c r="D42" s="491"/>
      <c r="E42" s="495" t="s">
        <v>273</v>
      </c>
      <c r="F42" s="494"/>
      <c r="G42" s="494"/>
      <c r="H42" s="494"/>
      <c r="I42" s="494"/>
      <c r="J42" s="131" t="s">
        <v>274</v>
      </c>
      <c r="K42" s="129" t="str">
        <f>PLAN!D44</f>
        <v>M2</v>
      </c>
      <c r="L42" s="139">
        <f>ROUND(M42*N42*2,2)</f>
        <v>10.81</v>
      </c>
      <c r="M42" s="139">
        <f>14.02+4</f>
        <v>18.02</v>
      </c>
      <c r="N42" s="135">
        <v>0.3</v>
      </c>
      <c r="O42" s="142"/>
      <c r="P42" s="142"/>
    </row>
    <row r="43" spans="1:16" s="9" customFormat="1" ht="13.9" customHeight="1" x14ac:dyDescent="0.2">
      <c r="A43" s="128" t="str">
        <f>PLAN!A45</f>
        <v>3.6.2</v>
      </c>
      <c r="B43" s="489" t="str">
        <f>PLAN!C45</f>
        <v>CORTE, DOBRA E ARMAÇÃO DE AÇO CA-50/60</v>
      </c>
      <c r="C43" s="490"/>
      <c r="D43" s="491"/>
      <c r="E43" s="495" t="s">
        <v>275</v>
      </c>
      <c r="F43" s="494"/>
      <c r="G43" s="494"/>
      <c r="H43" s="494"/>
      <c r="I43" s="494"/>
      <c r="J43" s="413" t="str">
        <f>E43</f>
        <v>peso de aço = volume de concreto x 30kg/m3</v>
      </c>
      <c r="K43" s="129" t="str">
        <f>PLAN!D45</f>
        <v>KG</v>
      </c>
      <c r="L43" s="139">
        <f>ROUND(L44*30,2)</f>
        <v>32.4</v>
      </c>
      <c r="M43" s="138"/>
      <c r="N43" s="150"/>
      <c r="O43" s="142"/>
      <c r="P43" s="142"/>
    </row>
    <row r="44" spans="1:16" s="9" customFormat="1" ht="13.9" customHeight="1" x14ac:dyDescent="0.2">
      <c r="A44" s="128" t="str">
        <f>PLAN!A46</f>
        <v>3.6.3</v>
      </c>
      <c r="B44" s="489" t="str">
        <f>PLAN!C46</f>
        <v>FORNECIMENTO CONCRETO ESTRUTURAL, PREPARADO OBRA, COM FCK 25 MPA, INCL LANÇAMENTO, ADENSAMENTO E ACABAMENTO</v>
      </c>
      <c r="C44" s="490"/>
      <c r="D44" s="491"/>
      <c r="E44" s="492" t="s">
        <v>285</v>
      </c>
      <c r="F44" s="493"/>
      <c r="G44" s="494"/>
      <c r="H44" s="494"/>
      <c r="I44" s="494"/>
      <c r="J44" s="131" t="s">
        <v>277</v>
      </c>
      <c r="K44" s="129" t="str">
        <f>PLAN!D46</f>
        <v>M3</v>
      </c>
      <c r="L44" s="139">
        <f>ROUND(M44*N44*O44,2)</f>
        <v>1.08</v>
      </c>
      <c r="M44" s="135">
        <f>M42</f>
        <v>18.02</v>
      </c>
      <c r="N44" s="135">
        <f>N42</f>
        <v>0.3</v>
      </c>
      <c r="O44" s="418">
        <v>0.2</v>
      </c>
      <c r="P44" s="142"/>
    </row>
    <row r="45" spans="1:16" s="9" customFormat="1" ht="24" customHeight="1" x14ac:dyDescent="0.2">
      <c r="A45" s="128" t="str">
        <f>PLAN!A47</f>
        <v>3.6.4</v>
      </c>
      <c r="B45" s="489" t="str">
        <f>PLAN!C47</f>
        <v>GUARDA-CORPO DE AÇO GALVANIZADO DE 1,10M, MONTANTES TUBULARES DE 100X50MM ESPAÇADOS DE 1,20M, TRAVESSA SUPERIOR DE 3", GRADIL EM CANTONEIRA 51X51X4,8 MM E BARRAS CHATAS NA VERTICAL DE 32X4,8 MM, FIXADO COM ADESIVO ESTRUTURAL EPOXI. AF_10/2025</v>
      </c>
      <c r="C45" s="490"/>
      <c r="D45" s="491"/>
      <c r="E45" s="492" t="s">
        <v>298</v>
      </c>
      <c r="F45" s="493"/>
      <c r="G45" s="494"/>
      <c r="H45" s="494"/>
      <c r="I45" s="494"/>
      <c r="J45" s="98" t="str">
        <f>E45</f>
        <v>comprimento CAD</v>
      </c>
      <c r="K45" s="129" t="str">
        <f>PLAN!D47</f>
        <v>M</v>
      </c>
      <c r="L45" s="139">
        <f>14.02+32.29</f>
        <v>46.31</v>
      </c>
      <c r="M45" s="410"/>
      <c r="N45" s="151"/>
      <c r="O45" s="142"/>
      <c r="P45" s="142"/>
    </row>
    <row r="46" spans="1:16" s="9" customFormat="1" ht="13.9" customHeight="1" x14ac:dyDescent="0.2">
      <c r="A46" s="128">
        <f>PLAN!A48</f>
        <v>4</v>
      </c>
      <c r="B46" s="489" t="str">
        <f>PLAN!C48</f>
        <v>ÁREA 02 - RUA OTÁVIO SOARES</v>
      </c>
      <c r="C46" s="490"/>
      <c r="D46" s="491"/>
      <c r="E46" s="492"/>
      <c r="F46" s="493"/>
      <c r="G46" s="494"/>
      <c r="H46" s="494"/>
      <c r="I46" s="494"/>
      <c r="J46" s="131"/>
      <c r="K46" s="129">
        <f>PLAN!D48</f>
        <v>0</v>
      </c>
      <c r="L46" s="139"/>
      <c r="M46" s="410"/>
      <c r="N46" s="151"/>
      <c r="O46" s="142"/>
      <c r="P46" s="142"/>
    </row>
    <row r="47" spans="1:16" s="9" customFormat="1" ht="13.9" customHeight="1" x14ac:dyDescent="0.2">
      <c r="A47" s="128" t="str">
        <f>PLAN!A49</f>
        <v>4.1</v>
      </c>
      <c r="B47" s="489" t="str">
        <f>PLAN!C49</f>
        <v>DEMOLIÇÕES E REMOÇÕES</v>
      </c>
      <c r="C47" s="490"/>
      <c r="D47" s="491"/>
      <c r="E47" s="492"/>
      <c r="F47" s="493"/>
      <c r="G47" s="494"/>
      <c r="H47" s="494"/>
      <c r="I47" s="494"/>
      <c r="J47" s="137"/>
      <c r="K47" s="129">
        <f>PLAN!D49</f>
        <v>0</v>
      </c>
      <c r="L47" s="139"/>
      <c r="M47" s="138"/>
      <c r="N47" s="150"/>
      <c r="O47" s="142"/>
      <c r="P47" s="142"/>
    </row>
    <row r="48" spans="1:16" s="9" customFormat="1" ht="13.9" customHeight="1" x14ac:dyDescent="0.2">
      <c r="A48" s="128" t="str">
        <f>PLAN!A50</f>
        <v>4.1.1</v>
      </c>
      <c r="B48" s="489" t="str">
        <f>PLAN!C50</f>
        <v xml:space="preserve">REMOÇÃO DE MEIO FIO PRÉ MOLDADO DE CONCRETO </v>
      </c>
      <c r="C48" s="490"/>
      <c r="D48" s="491"/>
      <c r="E48" s="512" t="s">
        <v>269</v>
      </c>
      <c r="F48" s="513"/>
      <c r="G48" s="513"/>
      <c r="H48" s="513"/>
      <c r="I48" s="513"/>
      <c r="J48" s="131" t="str">
        <f>E48</f>
        <v>comprimento existente</v>
      </c>
      <c r="K48" s="129" t="str">
        <f>PLAN!D50</f>
        <v>M</v>
      </c>
      <c r="L48" s="139">
        <v>17.600000000000001</v>
      </c>
      <c r="M48" s="136"/>
      <c r="N48" s="136"/>
      <c r="O48" s="142"/>
      <c r="P48" s="142"/>
    </row>
    <row r="49" spans="1:16" s="9" customFormat="1" ht="24" customHeight="1" x14ac:dyDescent="0.2">
      <c r="A49" s="128" t="str">
        <f>PLAN!A51</f>
        <v>4.1.2</v>
      </c>
      <c r="B49" s="489" t="str">
        <f>PLAN!C51</f>
        <v>DEMOLIÇÃO MECANIZADA DE CONCRETO, SEM ARMAÇÃO, COM EQUIPAMENTO ELÉTRICO, INCLUSIVE AFASTAMENTO E EMPILHAMENTO, EXCLUSIVE TRANSPORTE E RETIRADA DO MATERIAL DEMOLIDO</v>
      </c>
      <c r="C49" s="490"/>
      <c r="D49" s="491"/>
      <c r="E49" s="512" t="s">
        <v>270</v>
      </c>
      <c r="F49" s="513"/>
      <c r="G49" s="513"/>
      <c r="H49" s="513"/>
      <c r="I49" s="513"/>
      <c r="J49" s="131" t="str">
        <f>E49</f>
        <v>volume de concreto a ser demolido</v>
      </c>
      <c r="K49" s="129" t="str">
        <f>PLAN!D51</f>
        <v>M3</v>
      </c>
      <c r="L49" s="139">
        <f>ROUND(15*1.5*0.2,2)</f>
        <v>4.5</v>
      </c>
      <c r="M49" s="136"/>
      <c r="N49" s="151"/>
      <c r="O49" s="142"/>
      <c r="P49" s="142"/>
    </row>
    <row r="50" spans="1:16" s="9" customFormat="1" ht="24" customHeight="1" x14ac:dyDescent="0.2">
      <c r="A50" s="128" t="str">
        <f>PLAN!A52</f>
        <v>4.1.3</v>
      </c>
      <c r="B50" s="489" t="str">
        <f>PLAN!C52</f>
        <v>TRANSPORTE DE MATERIAL DE QUALQUER NATUREZA COM CARRINHO DE MÃO, COM DISTÂNCIAS MENORES OU IGUAIS A 50M, INCLUSIVE CARGA/DESCARGA</v>
      </c>
      <c r="C50" s="490"/>
      <c r="D50" s="491"/>
      <c r="E50" s="524" t="s">
        <v>271</v>
      </c>
      <c r="F50" s="525"/>
      <c r="G50" s="525"/>
      <c r="H50" s="525"/>
      <c r="I50" s="525"/>
      <c r="J50" s="412" t="str">
        <f>E50</f>
        <v>transporte do volume de material demolido</v>
      </c>
      <c r="K50" s="129" t="str">
        <f>PLAN!D52</f>
        <v>M3</v>
      </c>
      <c r="L50" s="139">
        <f>L49</f>
        <v>4.5</v>
      </c>
      <c r="M50" s="136"/>
      <c r="N50" s="151"/>
      <c r="O50" s="142"/>
      <c r="P50" s="142"/>
    </row>
    <row r="51" spans="1:16" s="9" customFormat="1" ht="24" customHeight="1" x14ac:dyDescent="0.2">
      <c r="A51" s="128" t="str">
        <f>PLAN!A53</f>
        <v>4.1.4</v>
      </c>
      <c r="B51" s="489" t="str">
        <f>PLAN!C53</f>
        <v>TRANSPORTE DE MATERIAL DE QUALQUER NATUREZA EM CAMINHÃO, DISTÂNCIA MAIOR QUE 1KM E MENOR OU IGUAL A 2KM, DENTRO DO PERÍMETRO URBANO, EXCLUSIVE CARGA, INCLUSIVE DESCARGA</v>
      </c>
      <c r="C51" s="490"/>
      <c r="D51" s="491"/>
      <c r="E51" s="495" t="s">
        <v>345</v>
      </c>
      <c r="F51" s="494"/>
      <c r="G51" s="494"/>
      <c r="H51" s="494"/>
      <c r="I51" s="494"/>
      <c r="J51" s="413" t="str">
        <f>E51</f>
        <v>volume de material demolido x distância de transporte 2km</v>
      </c>
      <c r="K51" s="129" t="str">
        <f>PLAN!D53</f>
        <v>M3xKM</v>
      </c>
      <c r="L51" s="139">
        <f>ROUND(L50*2,2)</f>
        <v>9</v>
      </c>
      <c r="M51" s="136"/>
      <c r="N51" s="151"/>
      <c r="O51" s="142"/>
      <c r="P51" s="142"/>
    </row>
    <row r="52" spans="1:16" s="9" customFormat="1" ht="13.9" customHeight="1" x14ac:dyDescent="0.2">
      <c r="A52" s="128" t="str">
        <f>PLAN!A54</f>
        <v>4.2</v>
      </c>
      <c r="B52" s="489" t="str">
        <f>PLAN!C54</f>
        <v>PAVIMENTAÇÃO</v>
      </c>
      <c r="C52" s="490"/>
      <c r="D52" s="491"/>
      <c r="E52" s="492"/>
      <c r="F52" s="493"/>
      <c r="G52" s="494"/>
      <c r="H52" s="494"/>
      <c r="I52" s="494"/>
      <c r="J52" s="137"/>
      <c r="K52" s="129">
        <f>PLAN!D54</f>
        <v>0</v>
      </c>
      <c r="L52" s="139"/>
      <c r="M52" s="150"/>
      <c r="N52" s="150"/>
      <c r="O52" s="142"/>
      <c r="P52" s="142"/>
    </row>
    <row r="53" spans="1:16" s="9" customFormat="1" ht="24" customHeight="1" x14ac:dyDescent="0.2">
      <c r="A53" s="128" t="str">
        <f>PLAN!A55</f>
        <v>4.2.1</v>
      </c>
      <c r="B53" s="489" t="str">
        <f>PLAN!C55</f>
        <v>GUIA DE MEIO FIO, EM CONCRETO COM FCK 20MPA, PRÉ MOLDADA, MFC 01 PADRÃO DER MG, DIMENSÕES (12X16,7X35)CM, EXCLUSIVE SARJETA, INCLUSIVE ESCAVAÇÃO, APILOAMENTO E TRANSPORTE COM RETIRADA DO MATERIAL ESCAVADO (EM CAÇAMBA)</v>
      </c>
      <c r="C53" s="490"/>
      <c r="D53" s="491"/>
      <c r="E53" s="492" t="s">
        <v>298</v>
      </c>
      <c r="F53" s="493"/>
      <c r="G53" s="494"/>
      <c r="H53" s="494"/>
      <c r="I53" s="494"/>
      <c r="J53" s="413" t="str">
        <f>E53</f>
        <v>comprimento CAD</v>
      </c>
      <c r="K53" s="129" t="str">
        <f>PLAN!D55</f>
        <v>M</v>
      </c>
      <c r="L53" s="139">
        <f>250.37</f>
        <v>250.37</v>
      </c>
      <c r="M53" s="138"/>
      <c r="N53" s="150"/>
      <c r="O53" s="142"/>
      <c r="P53" s="142"/>
    </row>
    <row r="54" spans="1:16" s="9" customFormat="1" ht="13.9" customHeight="1" x14ac:dyDescent="0.2">
      <c r="A54" s="128" t="str">
        <f>PLAN!A56</f>
        <v>4.2.2</v>
      </c>
      <c r="B54" s="489" t="str">
        <f>PLAN!C56</f>
        <v>PASSEIOS DE CONCRETO E = 6 CM, FCK = 10 MPA, JUNTA SECA</v>
      </c>
      <c r="C54" s="490"/>
      <c r="D54" s="491"/>
      <c r="E54" s="492" t="s">
        <v>347</v>
      </c>
      <c r="F54" s="493"/>
      <c r="G54" s="494"/>
      <c r="H54" s="494"/>
      <c r="I54" s="494"/>
      <c r="J54" s="415" t="s">
        <v>349</v>
      </c>
      <c r="K54" s="129" t="str">
        <f>PLAN!D56</f>
        <v>M2</v>
      </c>
      <c r="L54" s="139">
        <f>ROUND(L48*1.2,2)</f>
        <v>21.12</v>
      </c>
      <c r="M54" s="138"/>
      <c r="N54" s="150"/>
      <c r="O54" s="142"/>
      <c r="P54" s="142"/>
    </row>
    <row r="55" spans="1:16" s="9" customFormat="1" ht="24" customHeight="1" x14ac:dyDescent="0.2">
      <c r="A55" s="128" t="str">
        <f>PLAN!A57</f>
        <v>4.2.3</v>
      </c>
      <c r="B55" s="489" t="str">
        <f>PLAN!C57</f>
        <v>EXECUÇÃO DE PAVIMENTO COM PISO INTERTRAVADO, TIPO RETANGULAR, ESP. 6CM, COM FCK DE 35MPA, INCLUSIVE COLCHÃO DE AREIA, ESP. 6CM, PARA ASSENTAMENTO, COMPACTAÇÃO MECANIZADA, CARGA E DESCARGA MECÂNICA EM CAMINHÃO, EXCLUSIVE TRANSPORTE DE PISO INTERTRAVADO</v>
      </c>
      <c r="C55" s="490"/>
      <c r="D55" s="491"/>
      <c r="E55" s="492" t="s">
        <v>284</v>
      </c>
      <c r="F55" s="493"/>
      <c r="G55" s="494"/>
      <c r="H55" s="494"/>
      <c r="I55" s="494"/>
      <c r="J55" s="413" t="str">
        <f>E55</f>
        <v>área CAD</v>
      </c>
      <c r="K55" s="129" t="str">
        <f>PLAN!D57</f>
        <v>M2</v>
      </c>
      <c r="L55" s="139">
        <v>550.75</v>
      </c>
      <c r="M55" s="138"/>
      <c r="N55" s="150"/>
      <c r="O55" s="142"/>
      <c r="P55" s="142"/>
    </row>
    <row r="56" spans="1:16" s="9" customFormat="1" ht="24" customHeight="1" x14ac:dyDescent="0.2">
      <c r="A56" s="128" t="str">
        <f>PLAN!A58</f>
        <v>4.2.4</v>
      </c>
      <c r="B56" s="489" t="str">
        <f>PLAN!C58</f>
        <v>EXECUÇÃO DE PAVIMENTO COM PISO INTERTRAVADO, TIPO RETANGULAR, ESP. 10CM, COM FCK DE 35MPA, INCLUSIVE COLCHÃO DE AREIA, ESP. 6CM, PARA ASSENTAMENTO, COMPACTAÇÃO MECANIZADA, CARGA E DESCARGA MECÂNICA EM CAMINHÃO, EXCLUSIVE TRANSPORTE DE PISO INTERTRAVADO</v>
      </c>
      <c r="C56" s="490"/>
      <c r="D56" s="491"/>
      <c r="E56" s="492" t="s">
        <v>284</v>
      </c>
      <c r="F56" s="493"/>
      <c r="G56" s="494"/>
      <c r="H56" s="494"/>
      <c r="I56" s="494"/>
      <c r="J56" s="413" t="str">
        <f>E56</f>
        <v>área CAD</v>
      </c>
      <c r="K56" s="129" t="str">
        <f>PLAN!D58</f>
        <v>M2</v>
      </c>
      <c r="L56" s="139">
        <f>2211.4</f>
        <v>2211.4</v>
      </c>
      <c r="M56" s="141"/>
      <c r="N56" s="150"/>
      <c r="O56" s="142"/>
      <c r="P56" s="142"/>
    </row>
    <row r="57" spans="1:16" s="9" customFormat="1" ht="13.9" customHeight="1" x14ac:dyDescent="0.2">
      <c r="A57" s="128" t="str">
        <f>PLAN!A59</f>
        <v>4.2.5</v>
      </c>
      <c r="B57" s="489" t="str">
        <f>PLAN!C59</f>
        <v>CINTA EM CONCRETO ARMADO</v>
      </c>
      <c r="C57" s="490"/>
      <c r="D57" s="491"/>
      <c r="E57" s="492"/>
      <c r="F57" s="493"/>
      <c r="G57" s="494"/>
      <c r="H57" s="494"/>
      <c r="I57" s="494"/>
      <c r="J57" s="137"/>
      <c r="K57" s="129">
        <f>PLAN!D59</f>
        <v>0</v>
      </c>
      <c r="L57" s="139"/>
      <c r="M57" s="138"/>
      <c r="N57" s="150"/>
      <c r="O57" s="142"/>
      <c r="P57" s="142"/>
    </row>
    <row r="58" spans="1:16" s="9" customFormat="1" ht="13.9" customHeight="1" x14ac:dyDescent="0.2">
      <c r="A58" s="128" t="str">
        <f>PLAN!A60</f>
        <v>4.2.5.1</v>
      </c>
      <c r="B58" s="489" t="str">
        <f>PLAN!C60</f>
        <v>ESCAVAÇÃO MANUAL DE VALA COM PROFUNDIDADE MENOR OU IGUAL A 1,5M, INCLUSIVE DESCARGA LATERAL</v>
      </c>
      <c r="C58" s="490"/>
      <c r="D58" s="491"/>
      <c r="E58" s="524" t="s">
        <v>272</v>
      </c>
      <c r="F58" s="525"/>
      <c r="G58" s="525"/>
      <c r="H58" s="525"/>
      <c r="I58" s="525"/>
      <c r="J58" s="137" t="s">
        <v>348</v>
      </c>
      <c r="K58" s="129" t="str">
        <f>PLAN!D60</f>
        <v>M3</v>
      </c>
      <c r="L58" s="139">
        <f>ROUND(M58*N58*O58,2)</f>
        <v>10.08</v>
      </c>
      <c r="M58" s="139">
        <f>(114.29+109.8)</f>
        <v>224.09</v>
      </c>
      <c r="N58" s="135">
        <v>0.15</v>
      </c>
      <c r="O58" s="135">
        <v>0.3</v>
      </c>
      <c r="P58" s="142"/>
    </row>
    <row r="59" spans="1:16" s="9" customFormat="1" ht="13.9" customHeight="1" x14ac:dyDescent="0.2">
      <c r="A59" s="128" t="str">
        <f>PLAN!A61</f>
        <v>4.2.5.2</v>
      </c>
      <c r="B59" s="489" t="str">
        <f>PLAN!C61</f>
        <v>FÔRMA E DESFORMA DE TÁBUA E SARRAFO, REAPROVEITAMENTO (3X), EXCLUSIVE ESCORAMENTO</v>
      </c>
      <c r="C59" s="490"/>
      <c r="D59" s="491"/>
      <c r="E59" s="495" t="s">
        <v>273</v>
      </c>
      <c r="F59" s="494"/>
      <c r="G59" s="494"/>
      <c r="H59" s="494"/>
      <c r="I59" s="494"/>
      <c r="J59" s="131" t="s">
        <v>274</v>
      </c>
      <c r="K59" s="129" t="str">
        <f>PLAN!D61</f>
        <v>M2</v>
      </c>
      <c r="L59" s="139">
        <f>ROUND(M59*0.3*2,2)</f>
        <v>134.44999999999999</v>
      </c>
      <c r="M59" s="130">
        <f>M58</f>
        <v>224.09</v>
      </c>
      <c r="N59" s="135">
        <f>O58</f>
        <v>0.3</v>
      </c>
      <c r="O59" s="142"/>
      <c r="P59" s="142"/>
    </row>
    <row r="60" spans="1:16" s="9" customFormat="1" ht="13.9" customHeight="1" x14ac:dyDescent="0.2">
      <c r="A60" s="128" t="str">
        <f>PLAN!A62</f>
        <v>4.2.5.3</v>
      </c>
      <c r="B60" s="489" t="str">
        <f>PLAN!C62</f>
        <v>CORTE, DOBRA E ARMAÇÃO DE AÇO CA-50/60</v>
      </c>
      <c r="C60" s="490"/>
      <c r="D60" s="491"/>
      <c r="E60" s="495" t="s">
        <v>275</v>
      </c>
      <c r="F60" s="494"/>
      <c r="G60" s="494"/>
      <c r="H60" s="494"/>
      <c r="I60" s="494"/>
      <c r="J60" s="413" t="str">
        <f>E60</f>
        <v>peso de aço = volume de concreto x 30kg/m3</v>
      </c>
      <c r="K60" s="129" t="str">
        <f>PLAN!D62</f>
        <v>KG</v>
      </c>
      <c r="L60" s="139">
        <f>ROUND(L61*30,2)</f>
        <v>302.39999999999998</v>
      </c>
      <c r="M60" s="138"/>
      <c r="N60" s="150"/>
      <c r="O60" s="142"/>
      <c r="P60" s="142"/>
    </row>
    <row r="61" spans="1:16" s="9" customFormat="1" ht="13.9" customHeight="1" x14ac:dyDescent="0.2">
      <c r="A61" s="128" t="str">
        <f>PLAN!A63</f>
        <v>4.2.5.4</v>
      </c>
      <c r="B61" s="489" t="str">
        <f>PLAN!C63</f>
        <v>FORNECIMENTO CONCRETO ESTRUTURAL, PREPARADO OBRA, COM FCK 25 MPA, INCL LANÇAMENTO, ADENSAMENTO E ACABAMENTO</v>
      </c>
      <c r="C61" s="490"/>
      <c r="D61" s="491"/>
      <c r="E61" s="495" t="s">
        <v>276</v>
      </c>
      <c r="F61" s="494"/>
      <c r="G61" s="494"/>
      <c r="H61" s="494"/>
      <c r="I61" s="494"/>
      <c r="J61" s="137" t="s">
        <v>277</v>
      </c>
      <c r="K61" s="129" t="str">
        <f>PLAN!D63</f>
        <v>M3</v>
      </c>
      <c r="L61" s="139">
        <f>ROUND(M61*N61*O61,2)</f>
        <v>10.08</v>
      </c>
      <c r="M61" s="132">
        <f>M59</f>
        <v>224.09</v>
      </c>
      <c r="N61" s="135">
        <f>N58</f>
        <v>0.15</v>
      </c>
      <c r="O61" s="423">
        <f>O58</f>
        <v>0.3</v>
      </c>
      <c r="P61" s="142"/>
    </row>
    <row r="62" spans="1:16" s="9" customFormat="1" ht="13.9" customHeight="1" x14ac:dyDescent="0.2">
      <c r="A62" s="128" t="str">
        <f>PLAN!A64</f>
        <v>4.2.6</v>
      </c>
      <c r="B62" s="489" t="str">
        <f>PLAN!C64</f>
        <v>REATERRO COMPACTADO COM EQUIPAMENTO PLACA VIBRATÓRIA</v>
      </c>
      <c r="C62" s="490"/>
      <c r="D62" s="491"/>
      <c r="E62" s="495" t="s">
        <v>278</v>
      </c>
      <c r="F62" s="494"/>
      <c r="G62" s="494"/>
      <c r="H62" s="494"/>
      <c r="I62" s="494"/>
      <c r="J62" s="131" t="s">
        <v>277</v>
      </c>
      <c r="K62" s="129" t="str">
        <f>PLAN!D64</f>
        <v>M3</v>
      </c>
      <c r="L62" s="139">
        <f>ROUND(M62*N62*O62,2)</f>
        <v>5.04</v>
      </c>
      <c r="M62" s="132">
        <f>M58</f>
        <v>224.09</v>
      </c>
      <c r="N62" s="135">
        <v>0.15</v>
      </c>
      <c r="O62" s="423">
        <v>0.15</v>
      </c>
      <c r="P62" s="142"/>
    </row>
    <row r="63" spans="1:16" s="9" customFormat="1" ht="24" customHeight="1" x14ac:dyDescent="0.2">
      <c r="A63" s="128" t="str">
        <f>PLAN!A65</f>
        <v>4.2.7</v>
      </c>
      <c r="B63" s="489" t="str">
        <f>PLAN!C65</f>
        <v>GUIA DE CORDÃO BOLEADO, EM CONCRETO COM FCK 20MPA, PRÉ MOLDADA, 10X10CM (ALTURA X LARGURA), INCLUSIVE UMA (1) FIADA DE BLOCO DE CONCRETO, ESP. 9CM, ESCAVAÇÃO, APILOAMENTO E TRANSPORTE COM RETIRADA DO MATERIAL ESCAVADO (EM CAÇAMBA)</v>
      </c>
      <c r="C63" s="490"/>
      <c r="D63" s="491"/>
      <c r="E63" s="495" t="s">
        <v>301</v>
      </c>
      <c r="F63" s="494"/>
      <c r="G63" s="494"/>
      <c r="H63" s="494"/>
      <c r="I63" s="494"/>
      <c r="J63" s="413" t="str">
        <f>E63</f>
        <v>comprimento de cinta</v>
      </c>
      <c r="K63" s="129" t="str">
        <f>PLAN!D65</f>
        <v>M</v>
      </c>
      <c r="L63" s="139">
        <f>M58</f>
        <v>224.09</v>
      </c>
      <c r="M63" s="136"/>
      <c r="N63" s="136"/>
      <c r="O63" s="143"/>
      <c r="P63" s="142"/>
    </row>
    <row r="64" spans="1:16" s="9" customFormat="1" ht="13.9" customHeight="1" x14ac:dyDescent="0.2">
      <c r="A64" s="128" t="str">
        <f>PLAN!A66</f>
        <v>4.3</v>
      </c>
      <c r="B64" s="489" t="str">
        <f>PLAN!C66</f>
        <v>PAISAGISMO</v>
      </c>
      <c r="C64" s="490"/>
      <c r="D64" s="491"/>
      <c r="E64" s="495" t="s">
        <v>301</v>
      </c>
      <c r="F64" s="494"/>
      <c r="G64" s="494"/>
      <c r="H64" s="494"/>
      <c r="I64" s="494"/>
      <c r="J64" s="413" t="str">
        <f>E64</f>
        <v>comprimento de cinta</v>
      </c>
      <c r="K64" s="129"/>
      <c r="L64" s="139"/>
      <c r="M64" s="136"/>
      <c r="N64" s="136"/>
      <c r="O64" s="143"/>
      <c r="P64" s="142"/>
    </row>
    <row r="65" spans="1:16" s="9" customFormat="1" ht="13.9" customHeight="1" x14ac:dyDescent="0.2">
      <c r="A65" s="128" t="str">
        <f>PLAN!A67</f>
        <v>4.3.1</v>
      </c>
      <c r="B65" s="489" t="str">
        <f>PLAN!C67</f>
        <v>PLANTIO DE GRAMA ESMERALDA EM PLACAS, INCLUSIVE TERRA VEGETAL E CONSERVAÇÃO POR TRINTA (30) DIAS</v>
      </c>
      <c r="C65" s="490"/>
      <c r="D65" s="491"/>
      <c r="E65" s="492" t="s">
        <v>284</v>
      </c>
      <c r="F65" s="493"/>
      <c r="G65" s="494"/>
      <c r="H65" s="494"/>
      <c r="I65" s="494"/>
      <c r="J65" s="137" t="s">
        <v>284</v>
      </c>
      <c r="K65" s="129" t="str">
        <f>PLAN!D67</f>
        <v>M2</v>
      </c>
      <c r="L65" s="139">
        <v>254.04</v>
      </c>
      <c r="M65" s="136"/>
      <c r="N65" s="136"/>
      <c r="O65" s="142"/>
      <c r="P65" s="142"/>
    </row>
    <row r="66" spans="1:16" s="9" customFormat="1" ht="13.9" customHeight="1" x14ac:dyDescent="0.2">
      <c r="A66" s="128" t="str">
        <f>PLAN!A68</f>
        <v>4.3.2</v>
      </c>
      <c r="B66" s="489" t="str">
        <f>PLAN!C68</f>
        <v>FORNECIMENTO DE ARBUSTO BELA EMÍLIA COM ALTURA MÍNIMA DE 15CM, EXCLUSIVE PLANTIO</v>
      </c>
      <c r="C66" s="490"/>
      <c r="D66" s="491"/>
      <c r="E66" s="492" t="s">
        <v>279</v>
      </c>
      <c r="F66" s="493"/>
      <c r="G66" s="494"/>
      <c r="H66" s="494"/>
      <c r="I66" s="494"/>
      <c r="J66" s="137" t="s">
        <v>279</v>
      </c>
      <c r="K66" s="129" t="str">
        <f>PLAN!D68</f>
        <v>UNID</v>
      </c>
      <c r="L66" s="139">
        <v>30</v>
      </c>
      <c r="M66" s="138"/>
      <c r="N66" s="150"/>
      <c r="O66" s="142"/>
      <c r="P66" s="142"/>
    </row>
    <row r="67" spans="1:16" s="9" customFormat="1" ht="13.9" customHeight="1" x14ac:dyDescent="0.2">
      <c r="A67" s="128" t="str">
        <f>PLAN!A69</f>
        <v>4.3.3</v>
      </c>
      <c r="B67" s="489" t="str">
        <f>PLAN!C69</f>
        <v>PLANTIO E PREPARO DE COVAS DE ARBUSTOS ORNAMENTAIS EM GERAL, EXCETO FORNECIMENTO DAS MUDAS</v>
      </c>
      <c r="C67" s="490"/>
      <c r="D67" s="491"/>
      <c r="E67" s="492" t="s">
        <v>279</v>
      </c>
      <c r="F67" s="493"/>
      <c r="G67" s="494"/>
      <c r="H67" s="494"/>
      <c r="I67" s="494"/>
      <c r="J67" s="137" t="s">
        <v>279</v>
      </c>
      <c r="K67" s="129" t="str">
        <f>PLAN!D69</f>
        <v>UNID</v>
      </c>
      <c r="L67" s="139">
        <f>L66</f>
        <v>30</v>
      </c>
      <c r="M67" s="138"/>
      <c r="N67" s="150"/>
      <c r="O67" s="142"/>
      <c r="P67" s="142"/>
    </row>
    <row r="68" spans="1:16" s="9" customFormat="1" ht="13.9" customHeight="1" x14ac:dyDescent="0.2">
      <c r="A68" s="128" t="str">
        <f>PLAN!A70</f>
        <v>4.4</v>
      </c>
      <c r="B68" s="489" t="str">
        <f>PLAN!C70</f>
        <v>DRENAGEM PLUVIAL</v>
      </c>
      <c r="C68" s="490"/>
      <c r="D68" s="491"/>
      <c r="E68" s="492"/>
      <c r="F68" s="493"/>
      <c r="G68" s="494"/>
      <c r="H68" s="494"/>
      <c r="I68" s="494"/>
      <c r="J68" s="137"/>
      <c r="K68" s="129">
        <f>PLAN!D70</f>
        <v>0</v>
      </c>
      <c r="L68" s="139"/>
      <c r="M68" s="138"/>
      <c r="N68" s="150"/>
      <c r="O68" s="142"/>
      <c r="P68" s="142"/>
    </row>
    <row r="69" spans="1:16" s="9" customFormat="1" ht="24" customHeight="1" x14ac:dyDescent="0.2">
      <c r="A69" s="128" t="str">
        <f>PLAN!A71</f>
        <v>4.4.1</v>
      </c>
      <c r="B69" s="489" t="str">
        <f>PLAN!C71</f>
        <v>DEMOLIÇÃO MECANIZADA DE CONCRETO, SEM ARMAÇÃO, COM EQUIPAMENTO PNEUMÁTICO, INCLUSIVE AFASTAMENTO E EMPILHAMENTO, EXCLUSIVE TRANSPORTE E RETIRADA DO MATERIAL DEMOLIDO</v>
      </c>
      <c r="C69" s="490"/>
      <c r="D69" s="491"/>
      <c r="E69" s="492" t="s">
        <v>286</v>
      </c>
      <c r="F69" s="493"/>
      <c r="G69" s="494"/>
      <c r="H69" s="494"/>
      <c r="I69" s="494"/>
      <c r="J69" s="131" t="s">
        <v>287</v>
      </c>
      <c r="K69" s="129" t="str">
        <f>PLAN!D71</f>
        <v>M3</v>
      </c>
      <c r="L69" s="139">
        <f>ROUND(M69*N69*O69,2)</f>
        <v>0.43</v>
      </c>
      <c r="M69" s="416">
        <v>1.2</v>
      </c>
      <c r="N69" s="140">
        <v>1.2</v>
      </c>
      <c r="O69" s="140">
        <v>0.3</v>
      </c>
      <c r="P69" s="142"/>
    </row>
    <row r="70" spans="1:16" s="9" customFormat="1" ht="13.9" customHeight="1" x14ac:dyDescent="0.2">
      <c r="A70" s="128" t="str">
        <f>PLAN!A72</f>
        <v>4.4.2</v>
      </c>
      <c r="B70" s="489" t="str">
        <f>PLAN!C72</f>
        <v>FÔRMA E DESFORMA DE TÁBUA E SARRAFO, REAPROVEITAMENTO (3X), EXCLUSIVE ESCORAMENTO</v>
      </c>
      <c r="C70" s="490"/>
      <c r="D70" s="491"/>
      <c r="E70" s="492" t="s">
        <v>289</v>
      </c>
      <c r="F70" s="493"/>
      <c r="G70" s="494"/>
      <c r="H70" s="494"/>
      <c r="I70" s="494"/>
      <c r="J70" s="131" t="s">
        <v>290</v>
      </c>
      <c r="K70" s="129" t="str">
        <f>PLAN!D72</f>
        <v>M2</v>
      </c>
      <c r="L70" s="139">
        <f>ROUND(M70*N70,2)</f>
        <v>1.44</v>
      </c>
      <c r="M70" s="416">
        <f>M69</f>
        <v>1.2</v>
      </c>
      <c r="N70" s="140">
        <f>N69</f>
        <v>1.2</v>
      </c>
      <c r="O70" s="141"/>
      <c r="P70" s="142"/>
    </row>
    <row r="71" spans="1:16" s="9" customFormat="1" ht="13.9" customHeight="1" x14ac:dyDescent="0.2">
      <c r="A71" s="128" t="str">
        <f>PLAN!A73</f>
        <v>4.4.3</v>
      </c>
      <c r="B71" s="489" t="str">
        <f>PLAN!C73</f>
        <v>FORNECIMENTO CONCRETO ESTRUTURAL, PREPARADO OBRA, COM FCK 25 MPA, INCL LANÇAMENTO, ADENSAMENTO E ACABAMENTO</v>
      </c>
      <c r="C71" s="490"/>
      <c r="D71" s="491"/>
      <c r="E71" s="492" t="s">
        <v>288</v>
      </c>
      <c r="F71" s="493"/>
      <c r="G71" s="494"/>
      <c r="H71" s="494"/>
      <c r="I71" s="494"/>
      <c r="J71" s="131" t="s">
        <v>291</v>
      </c>
      <c r="K71" s="129" t="str">
        <f>PLAN!D73</f>
        <v>M3</v>
      </c>
      <c r="L71" s="139">
        <f>ROUND(((M69*N69)-M71)*O69,2)</f>
        <v>0.35</v>
      </c>
      <c r="M71" s="140">
        <f>3.14*0.6*0.6*0.25</f>
        <v>0.28259999999999996</v>
      </c>
      <c r="N71" s="141"/>
      <c r="O71" s="141"/>
      <c r="P71" s="142"/>
    </row>
    <row r="72" spans="1:16" s="9" customFormat="1" ht="24" customHeight="1" x14ac:dyDescent="0.2">
      <c r="A72" s="128" t="str">
        <f>PLAN!A74</f>
        <v>4.4.4</v>
      </c>
      <c r="B72" s="489" t="str">
        <f>PLAN!C74</f>
        <v>ESCAVAÇÃO MECÂNICA DE VALAS COM PROFUNDIDADE MENOR OU IGUAL A 1,5M, INCLUSIVE CARGA EM CAMINHÃO, EXCLUSIVE TRANSPORTE E DESCARGA</v>
      </c>
      <c r="C72" s="490"/>
      <c r="D72" s="491"/>
      <c r="E72" s="492" t="s">
        <v>292</v>
      </c>
      <c r="F72" s="493"/>
      <c r="G72" s="494"/>
      <c r="H72" s="494"/>
      <c r="I72" s="494"/>
      <c r="J72" s="137" t="s">
        <v>293</v>
      </c>
      <c r="K72" s="129" t="str">
        <f>PLAN!D74</f>
        <v>M3</v>
      </c>
      <c r="L72" s="139">
        <f>ROUND(L77*0.8*1.2+L78*1.4*1.5,2)</f>
        <v>203.72</v>
      </c>
      <c r="M72" s="416"/>
      <c r="N72" s="140"/>
      <c r="O72" s="140"/>
      <c r="P72" s="142"/>
    </row>
    <row r="73" spans="1:16" s="9" customFormat="1" ht="24" customHeight="1" x14ac:dyDescent="0.2">
      <c r="A73" s="128" t="str">
        <f>PLAN!A75</f>
        <v>4.4.5</v>
      </c>
      <c r="B73" s="489" t="str">
        <f>PLAN!C75</f>
        <v>TRANSPORTE DE MATERIAL DE QUALQUER NATUREZA EM CAMINHÃO, DISTÂNCIA MAIOR QUE 1KM E MENOR OU IGUAL A 2KM, DENTRO DO PERÍMETRO URBANO, EXCLUSIVE CARGA, INCLUSIVE DESCARGA</v>
      </c>
      <c r="C73" s="490"/>
      <c r="D73" s="491"/>
      <c r="E73" s="492" t="s">
        <v>346</v>
      </c>
      <c r="F73" s="493"/>
      <c r="G73" s="494"/>
      <c r="H73" s="494"/>
      <c r="I73" s="494"/>
      <c r="J73" s="415" t="str">
        <f t="shared" ref="J73:J78" si="0">E73</f>
        <v>volume de material x distância de transporte 2km</v>
      </c>
      <c r="K73" s="129" t="str">
        <f>PLAN!D75</f>
        <v>M3xKM</v>
      </c>
      <c r="L73" s="139">
        <f>ROUND(L72*2,2)</f>
        <v>407.44</v>
      </c>
      <c r="M73" s="138"/>
      <c r="N73" s="150"/>
      <c r="O73" s="142"/>
      <c r="P73" s="142"/>
    </row>
    <row r="74" spans="1:16" s="9" customFormat="1" ht="13.9" customHeight="1" x14ac:dyDescent="0.2">
      <c r="A74" s="128" t="str">
        <f>PLAN!A76</f>
        <v>4.4.6</v>
      </c>
      <c r="B74" s="489" t="str">
        <f>PLAN!C76</f>
        <v>APILOAMENTO DO FUNDO DE VALAS COM PLACA VIBRATÓRIA</v>
      </c>
      <c r="C74" s="490"/>
      <c r="D74" s="491"/>
      <c r="E74" s="492" t="s">
        <v>370</v>
      </c>
      <c r="F74" s="493"/>
      <c r="G74" s="494"/>
      <c r="H74" s="494"/>
      <c r="I74" s="494"/>
      <c r="J74" s="413" t="str">
        <f t="shared" si="0"/>
        <v xml:space="preserve">área = comprimento x largura </v>
      </c>
      <c r="K74" s="129" t="str">
        <f>PLAN!D76</f>
        <v>M2</v>
      </c>
      <c r="L74" s="417">
        <f>ROUND((L77*0.8)+(L78*1.4),2)</f>
        <v>142.82</v>
      </c>
      <c r="M74" s="138"/>
      <c r="N74" s="150"/>
      <c r="O74" s="142"/>
      <c r="P74" s="142"/>
    </row>
    <row r="75" spans="1:16" s="9" customFormat="1" ht="13.9" customHeight="1" x14ac:dyDescent="0.2">
      <c r="A75" s="128" t="str">
        <f>PLAN!A77</f>
        <v>4.4.7</v>
      </c>
      <c r="B75" s="489" t="str">
        <f>PLAN!C77</f>
        <v>ESCORAMENTO CONTÍNUO DE VALAS TIPO A - MADEIRA ROLIÇA D= 11 A 15CM - PADRÃO SUDECAP</v>
      </c>
      <c r="C75" s="490"/>
      <c r="D75" s="491"/>
      <c r="E75" s="492" t="s">
        <v>369</v>
      </c>
      <c r="F75" s="493"/>
      <c r="G75" s="494"/>
      <c r="H75" s="494"/>
      <c r="I75" s="494"/>
      <c r="J75" s="413" t="str">
        <f t="shared" si="0"/>
        <v>área = comprimento x altura</v>
      </c>
      <c r="K75" s="129" t="str">
        <f>PLAN!D77</f>
        <v>M2</v>
      </c>
      <c r="L75" s="417">
        <f>ROUND((L78*1.4*2),2)</f>
        <v>215.6</v>
      </c>
      <c r="M75" s="416"/>
      <c r="N75" s="140"/>
      <c r="O75" s="142"/>
      <c r="P75" s="142"/>
    </row>
    <row r="76" spans="1:16" s="9" customFormat="1" ht="13.9" customHeight="1" x14ac:dyDescent="0.2">
      <c r="A76" s="128" t="str">
        <f>PLAN!A78</f>
        <v>4.4.8</v>
      </c>
      <c r="B76" s="489" t="str">
        <f>PLAN!C78</f>
        <v>CONCRETO MAGRO PARA BERÇO DE REDE TUBULAR, TRAÇO 1:4,5:4,5, PREPARO MECÂNICO COM BETONEIRA, INCLUI LANÇAMENTO E ACABAMENTO</v>
      </c>
      <c r="C76" s="490"/>
      <c r="D76" s="491"/>
      <c r="E76" s="492" t="s">
        <v>372</v>
      </c>
      <c r="F76" s="493"/>
      <c r="G76" s="494"/>
      <c r="H76" s="494"/>
      <c r="I76" s="494"/>
      <c r="J76" s="413" t="str">
        <f t="shared" si="0"/>
        <v>volume = comprimento x 0,43m3/m (caderno SUDECAP)</v>
      </c>
      <c r="K76" s="129" t="str">
        <f>PLAN!D78</f>
        <v>M3</v>
      </c>
      <c r="L76" s="417">
        <f>ROUND(L78*M76,2)</f>
        <v>33.11</v>
      </c>
      <c r="M76" s="416">
        <v>0.43</v>
      </c>
      <c r="N76" s="150" t="s">
        <v>371</v>
      </c>
      <c r="O76" s="142"/>
      <c r="P76" s="142"/>
    </row>
    <row r="77" spans="1:16" s="9" customFormat="1" ht="24" customHeight="1" x14ac:dyDescent="0.2">
      <c r="A77" s="128" t="str">
        <f>PLAN!A79</f>
        <v>4.4.9</v>
      </c>
      <c r="B77" s="489" t="str">
        <f>PLAN!C79</f>
        <v>TUBO DE CONCRETO ARMADO, CLASSE PA1, DIÂMETRO DE 400MM, INCLUSIVE CARGA E DESCARGA MECÂNICA EM CAMINHÃO, ASSENTAMENTO E REJUNTAMENTO, EXCLUSIVE ESCAVAÇÃO E TRANSPORTE</v>
      </c>
      <c r="C77" s="490"/>
      <c r="D77" s="491"/>
      <c r="E77" s="492" t="s">
        <v>282</v>
      </c>
      <c r="F77" s="493"/>
      <c r="G77" s="493"/>
      <c r="H77" s="493"/>
      <c r="I77" s="493"/>
      <c r="J77" s="415" t="str">
        <f t="shared" si="0"/>
        <v>comprimento da tubulação</v>
      </c>
      <c r="K77" s="129" t="str">
        <f>PLAN!D79</f>
        <v>M</v>
      </c>
      <c r="L77" s="417">
        <f>3.95+4.56+5.7+7.22+6.18+4.73+5.54+5.89</f>
        <v>43.77</v>
      </c>
      <c r="M77" s="138"/>
      <c r="N77" s="150"/>
      <c r="O77" s="142"/>
      <c r="P77" s="142"/>
    </row>
    <row r="78" spans="1:16" s="9" customFormat="1" ht="24" customHeight="1" x14ac:dyDescent="0.2">
      <c r="A78" s="128" t="str">
        <f>PLAN!A80</f>
        <v>4.4.10</v>
      </c>
      <c r="B78" s="489" t="str">
        <f>PLAN!C80</f>
        <v>TUBO DE CONCRETO ARMADO, CLASSE PA1, DIÂMETRO DE 800MM, INCLUSIVE CARGA E DESCARGA MECÂNICA EM CAMINHÃO, ASSENTAMENTO E REJUNTAMENTO, EXCLUSIVE ESCAVAÇÃO E TRANSPORTE</v>
      </c>
      <c r="C78" s="490"/>
      <c r="D78" s="491"/>
      <c r="E78" s="492" t="s">
        <v>282</v>
      </c>
      <c r="F78" s="493"/>
      <c r="G78" s="493"/>
      <c r="H78" s="493"/>
      <c r="I78" s="493"/>
      <c r="J78" s="415" t="str">
        <f t="shared" si="0"/>
        <v>comprimento da tubulação</v>
      </c>
      <c r="K78" s="129" t="str">
        <f>PLAN!D80</f>
        <v>M</v>
      </c>
      <c r="L78" s="139">
        <f>23.54+26.78+26.68</f>
        <v>77</v>
      </c>
      <c r="M78" s="138"/>
      <c r="N78" s="150"/>
      <c r="O78" s="142"/>
      <c r="P78" s="142"/>
    </row>
    <row r="79" spans="1:16" s="9" customFormat="1" ht="43.9" customHeight="1" x14ac:dyDescent="0.2">
      <c r="A79" s="128" t="str">
        <f>PLAN!A81</f>
        <v>4.4.11</v>
      </c>
      <c r="B79" s="489" t="str">
        <f>PLAN!C81</f>
        <v>REATERRO COMPACTADO DE VALA COM EQUIPAMENTO PLACA VIBRATÓRIA</v>
      </c>
      <c r="C79" s="490"/>
      <c r="D79" s="491"/>
      <c r="E79" s="502" t="s">
        <v>294</v>
      </c>
      <c r="F79" s="502"/>
      <c r="G79" s="502"/>
      <c r="H79" s="502"/>
      <c r="I79" s="502"/>
      <c r="J79" s="137" t="s">
        <v>378</v>
      </c>
      <c r="K79" s="129" t="str">
        <f>PLAN!D81</f>
        <v>M3</v>
      </c>
      <c r="L79" s="139">
        <f>ROUND((L77*0.8*1.2-L77*M79)+(L78*1.4*1.4-L78*N79),2)</f>
        <v>148.76</v>
      </c>
      <c r="M79" s="140">
        <f>3.14*0.4*0.4*0.25</f>
        <v>0.12560000000000002</v>
      </c>
      <c r="N79" s="140">
        <f>3.14*0.8*0.8*0.25</f>
        <v>0.50240000000000007</v>
      </c>
      <c r="O79" s="142"/>
      <c r="P79" s="142"/>
    </row>
    <row r="80" spans="1:16" s="9" customFormat="1" ht="24" customHeight="1" x14ac:dyDescent="0.2">
      <c r="A80" s="128" t="str">
        <f>PLAN!A82</f>
        <v>4.4.12</v>
      </c>
      <c r="B80" s="489" t="str">
        <f>PLAN!C82</f>
        <v>Caixa de Passagem Tipo A Ø=80 cm, areia e brita comerciais (Execução, incluindo fornecimento, carga e transporte de todos os materiais)   (Caderno de Drenagem RT 01.47.d)</v>
      </c>
      <c r="C80" s="490"/>
      <c r="D80" s="491"/>
      <c r="E80" s="502" t="s">
        <v>279</v>
      </c>
      <c r="F80" s="502"/>
      <c r="G80" s="502"/>
      <c r="H80" s="502"/>
      <c r="I80" s="502"/>
      <c r="J80" s="415" t="str">
        <f>E80</f>
        <v>quantidade</v>
      </c>
      <c r="K80" s="129" t="str">
        <f>PLAN!D82</f>
        <v>UNID</v>
      </c>
      <c r="L80" s="139">
        <v>4</v>
      </c>
      <c r="M80" s="141"/>
      <c r="N80" s="141"/>
      <c r="O80" s="142"/>
      <c r="P80" s="142"/>
    </row>
    <row r="81" spans="1:18" s="9" customFormat="1" ht="24" customHeight="1" x14ac:dyDescent="0.2">
      <c r="A81" s="128" t="str">
        <f>PLAN!A83</f>
        <v>4.4.13</v>
      </c>
      <c r="B81" s="489" t="str">
        <f>PLAN!C83</f>
        <v>Boca de Lobo Simples combinada com grelha, quadro e cantoneira pré moldados de concreto   BLS 01 areia e brita comerciais (Execução, incluindo escavação, fornecimento, carga e transporte de todos os materiais)   (Caderno de Drenagem RT 01.47.d)</v>
      </c>
      <c r="C81" s="490"/>
      <c r="D81" s="491"/>
      <c r="E81" s="502" t="s">
        <v>279</v>
      </c>
      <c r="F81" s="502"/>
      <c r="G81" s="502"/>
      <c r="H81" s="502"/>
      <c r="I81" s="502"/>
      <c r="J81" s="415" t="str">
        <f>E81</f>
        <v>quantidade</v>
      </c>
      <c r="K81" s="129" t="str">
        <f>PLAN!D83</f>
        <v>UNID</v>
      </c>
      <c r="L81" s="139">
        <v>8</v>
      </c>
      <c r="M81" s="138"/>
      <c r="N81" s="150"/>
      <c r="O81" s="142"/>
      <c r="P81" s="142"/>
    </row>
    <row r="82" spans="1:18" s="9" customFormat="1" ht="13.9" customHeight="1" x14ac:dyDescent="0.2">
      <c r="A82" s="428"/>
      <c r="B82" s="429"/>
      <c r="C82" s="429"/>
      <c r="D82" s="429"/>
      <c r="E82" s="419"/>
      <c r="F82" s="419"/>
      <c r="G82" s="419"/>
      <c r="H82" s="419"/>
      <c r="I82" s="419"/>
      <c r="J82" s="430"/>
      <c r="K82" s="431"/>
      <c r="L82" s="432"/>
      <c r="M82" s="138"/>
      <c r="N82" s="150"/>
      <c r="O82" s="142"/>
      <c r="P82" s="142"/>
    </row>
    <row r="83" spans="1:18" s="9" customFormat="1" ht="13.9" customHeight="1" x14ac:dyDescent="0.2">
      <c r="A83" s="399"/>
      <c r="B83" s="424"/>
      <c r="C83" s="424"/>
      <c r="D83" s="424"/>
      <c r="E83" s="425"/>
      <c r="F83" s="425"/>
      <c r="G83" s="425"/>
      <c r="H83" s="425"/>
      <c r="I83" s="425"/>
      <c r="J83" s="426"/>
      <c r="K83" s="427"/>
      <c r="L83" s="400"/>
      <c r="M83" s="138"/>
      <c r="N83" s="150"/>
      <c r="O83" s="142"/>
      <c r="P83" s="142"/>
    </row>
    <row r="84" spans="1:18" x14ac:dyDescent="0.2">
      <c r="A84" s="196"/>
      <c r="B84" s="499" t="s">
        <v>12</v>
      </c>
      <c r="C84" s="499"/>
      <c r="D84" s="499"/>
      <c r="E84" s="501"/>
      <c r="F84" s="501"/>
      <c r="G84" s="151"/>
      <c r="H84" s="433"/>
      <c r="I84" s="434"/>
      <c r="J84" s="435"/>
      <c r="K84" s="152"/>
      <c r="L84" s="197"/>
      <c r="M84" s="151"/>
      <c r="N84" s="153"/>
      <c r="O84" s="144"/>
      <c r="P84" s="149"/>
      <c r="Q84" s="13"/>
      <c r="R84" s="14"/>
    </row>
    <row r="85" spans="1:18" x14ac:dyDescent="0.2">
      <c r="A85" s="198"/>
      <c r="B85" s="500" t="s">
        <v>344</v>
      </c>
      <c r="C85" s="500"/>
      <c r="D85" s="500"/>
      <c r="E85" s="498"/>
      <c r="F85" s="498"/>
      <c r="G85" s="199"/>
      <c r="H85" s="199"/>
      <c r="I85" s="200"/>
      <c r="J85" s="201"/>
      <c r="K85" s="202"/>
      <c r="L85" s="203"/>
      <c r="M85" s="151"/>
      <c r="N85" s="153"/>
      <c r="O85" s="144"/>
      <c r="P85" s="149"/>
      <c r="Q85" s="13"/>
      <c r="R85" s="14"/>
    </row>
  </sheetData>
  <mergeCells count="164">
    <mergeCell ref="B75:D75"/>
    <mergeCell ref="B76:D76"/>
    <mergeCell ref="B77:D77"/>
    <mergeCell ref="E75:I75"/>
    <mergeCell ref="E76:I76"/>
    <mergeCell ref="E77:I77"/>
    <mergeCell ref="B80:D80"/>
    <mergeCell ref="E80:I80"/>
    <mergeCell ref="B63:D63"/>
    <mergeCell ref="E63:I63"/>
    <mergeCell ref="B73:D73"/>
    <mergeCell ref="E73:I73"/>
    <mergeCell ref="B68:D68"/>
    <mergeCell ref="E68:I68"/>
    <mergeCell ref="B69:D69"/>
    <mergeCell ref="E69:I69"/>
    <mergeCell ref="B72:D72"/>
    <mergeCell ref="E72:I72"/>
    <mergeCell ref="B70:D70"/>
    <mergeCell ref="E70:I70"/>
    <mergeCell ref="B71:D71"/>
    <mergeCell ref="B64:D64"/>
    <mergeCell ref="E64:I64"/>
    <mergeCell ref="B48:D48"/>
    <mergeCell ref="B49:D49"/>
    <mergeCell ref="B50:D50"/>
    <mergeCell ref="B51:D51"/>
    <mergeCell ref="E47:I47"/>
    <mergeCell ref="B47:D47"/>
    <mergeCell ref="E48:I48"/>
    <mergeCell ref="E50:I50"/>
    <mergeCell ref="E51:I51"/>
    <mergeCell ref="E49:I49"/>
    <mergeCell ref="B59:D59"/>
    <mergeCell ref="B60:D60"/>
    <mergeCell ref="B61:D61"/>
    <mergeCell ref="B52:D52"/>
    <mergeCell ref="B53:D53"/>
    <mergeCell ref="B56:D56"/>
    <mergeCell ref="E52:I52"/>
    <mergeCell ref="E53:I53"/>
    <mergeCell ref="B57:D57"/>
    <mergeCell ref="B58:D58"/>
    <mergeCell ref="E57:I57"/>
    <mergeCell ref="E58:I58"/>
    <mergeCell ref="E56:I56"/>
    <mergeCell ref="B54:D54"/>
    <mergeCell ref="E54:I54"/>
    <mergeCell ref="M5:N5"/>
    <mergeCell ref="B25:D25"/>
    <mergeCell ref="E25:I25"/>
    <mergeCell ref="B29:D29"/>
    <mergeCell ref="E22:I22"/>
    <mergeCell ref="B23:D23"/>
    <mergeCell ref="B8:D8"/>
    <mergeCell ref="B11:D11"/>
    <mergeCell ref="B7:D7"/>
    <mergeCell ref="E7:I7"/>
    <mergeCell ref="E9:I9"/>
    <mergeCell ref="M7:M9"/>
    <mergeCell ref="B20:D20"/>
    <mergeCell ref="E20:I20"/>
    <mergeCell ref="B5:J5"/>
    <mergeCell ref="B16:D16"/>
    <mergeCell ref="E12:I12"/>
    <mergeCell ref="E28:I28"/>
    <mergeCell ref="B24:D24"/>
    <mergeCell ref="E17:I17"/>
    <mergeCell ref="B14:D14"/>
    <mergeCell ref="E14:I14"/>
    <mergeCell ref="E24:I24"/>
    <mergeCell ref="B10:D10"/>
    <mergeCell ref="E29:I29"/>
    <mergeCell ref="L2:L4"/>
    <mergeCell ref="E10:I10"/>
    <mergeCell ref="E11:I11"/>
    <mergeCell ref="B6:D6"/>
    <mergeCell ref="B9:D9"/>
    <mergeCell ref="E6:I6"/>
    <mergeCell ref="E8:I8"/>
    <mergeCell ref="B15:D15"/>
    <mergeCell ref="E27:I27"/>
    <mergeCell ref="B28:D28"/>
    <mergeCell ref="E23:I23"/>
    <mergeCell ref="B21:D21"/>
    <mergeCell ref="E21:I21"/>
    <mergeCell ref="B18:D18"/>
    <mergeCell ref="E18:I18"/>
    <mergeCell ref="B17:D17"/>
    <mergeCell ref="B12:D12"/>
    <mergeCell ref="B26:D26"/>
    <mergeCell ref="E26:I26"/>
    <mergeCell ref="A1:L1"/>
    <mergeCell ref="A2:K2"/>
    <mergeCell ref="A3:K3"/>
    <mergeCell ref="A4:K4"/>
    <mergeCell ref="B40:D40"/>
    <mergeCell ref="B36:D36"/>
    <mergeCell ref="E36:I36"/>
    <mergeCell ref="B37:D37"/>
    <mergeCell ref="E37:I37"/>
    <mergeCell ref="B38:D38"/>
    <mergeCell ref="B33:D33"/>
    <mergeCell ref="B34:D34"/>
    <mergeCell ref="E34:I34"/>
    <mergeCell ref="B35:D35"/>
    <mergeCell ref="E31:I31"/>
    <mergeCell ref="B32:D32"/>
    <mergeCell ref="B13:D13"/>
    <mergeCell ref="E13:I13"/>
    <mergeCell ref="B19:D19"/>
    <mergeCell ref="E19:I19"/>
    <mergeCell ref="B22:D22"/>
    <mergeCell ref="B27:D27"/>
    <mergeCell ref="E15:I15"/>
    <mergeCell ref="E16:I16"/>
    <mergeCell ref="E85:F85"/>
    <mergeCell ref="B84:D84"/>
    <mergeCell ref="B85:D85"/>
    <mergeCell ref="B62:D62"/>
    <mergeCell ref="B65:D65"/>
    <mergeCell ref="B66:D66"/>
    <mergeCell ref="B67:D67"/>
    <mergeCell ref="E59:I59"/>
    <mergeCell ref="E60:I60"/>
    <mergeCell ref="E61:I61"/>
    <mergeCell ref="E62:I62"/>
    <mergeCell ref="E65:I65"/>
    <mergeCell ref="E66:I66"/>
    <mergeCell ref="E67:I67"/>
    <mergeCell ref="E84:F84"/>
    <mergeCell ref="B74:D74"/>
    <mergeCell ref="E74:I74"/>
    <mergeCell ref="B78:D78"/>
    <mergeCell ref="E78:I78"/>
    <mergeCell ref="B79:D79"/>
    <mergeCell ref="E71:I71"/>
    <mergeCell ref="E79:I79"/>
    <mergeCell ref="B81:D81"/>
    <mergeCell ref="E81:I81"/>
    <mergeCell ref="B39:D39"/>
    <mergeCell ref="E39:I39"/>
    <mergeCell ref="B55:D55"/>
    <mergeCell ref="E55:I55"/>
    <mergeCell ref="B30:D30"/>
    <mergeCell ref="B31:D31"/>
    <mergeCell ref="E32:I32"/>
    <mergeCell ref="E33:I33"/>
    <mergeCell ref="B42:D42"/>
    <mergeCell ref="E42:I42"/>
    <mergeCell ref="E44:I44"/>
    <mergeCell ref="E45:I45"/>
    <mergeCell ref="E46:I46"/>
    <mergeCell ref="B46:D46"/>
    <mergeCell ref="B41:D41"/>
    <mergeCell ref="E38:I38"/>
    <mergeCell ref="B43:D43"/>
    <mergeCell ref="E30:I30"/>
    <mergeCell ref="E35:I35"/>
    <mergeCell ref="E40:I40"/>
    <mergeCell ref="E41:I41"/>
    <mergeCell ref="E43:I43"/>
    <mergeCell ref="B44:D44"/>
    <mergeCell ref="B45:D45"/>
  </mergeCells>
  <printOptions horizontalCentered="1"/>
  <pageMargins left="0.19685039370078741" right="0.19685039370078741" top="0.19685039370078741" bottom="0.19685039370078741" header="0" footer="0"/>
  <pageSetup paperSize="9" scale="68" fitToHeight="0" orientation="landscape" r:id="rId1"/>
  <headerFooter alignWithMargins="0">
    <oddFooter>Página &amp;P de &amp;N</oddFooter>
  </headerFooter>
  <rowBreaks count="1" manualBreakCount="1">
    <brk id="44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7D2B3-73B7-4474-82E5-97CE518DC330}">
  <sheetPr codeName="Planilha4"/>
  <dimension ref="A1:AD94"/>
  <sheetViews>
    <sheetView showGridLines="0" showZeros="0" view="pageBreakPreview" zoomScaleNormal="100" zoomScaleSheetLayoutView="100" workbookViewId="0">
      <pane ySplit="7" topLeftCell="A86" activePane="bottomLeft" state="frozen"/>
      <selection pane="bottomLeft" activeCell="C13" sqref="C13"/>
    </sheetView>
  </sheetViews>
  <sheetFormatPr defaultColWidth="9.140625" defaultRowHeight="12.75" x14ac:dyDescent="0.2"/>
  <cols>
    <col min="1" max="1" width="7.140625" style="1" customWidth="1"/>
    <col min="2" max="2" width="13" style="1" customWidth="1"/>
    <col min="3" max="3" width="112.28515625" style="1" customWidth="1"/>
    <col min="4" max="4" width="7.28515625" style="1" customWidth="1"/>
    <col min="5" max="8" width="12.7109375" style="1" customWidth="1"/>
    <col min="9" max="9" width="13.7109375" style="1" customWidth="1"/>
    <col min="10" max="10" width="11.42578125" style="1" bestFit="1" customWidth="1"/>
    <col min="11" max="11" width="16" style="1" customWidth="1"/>
    <col min="12" max="12" width="16.5703125" style="1" customWidth="1"/>
    <col min="13" max="13" width="30.85546875" style="1" customWidth="1"/>
    <col min="14" max="24" width="9.140625" style="1"/>
    <col min="25" max="25" width="13.28515625" style="1" customWidth="1"/>
    <col min="26" max="16384" width="9.140625" style="1"/>
  </cols>
  <sheetData>
    <row r="1" spans="1:13" ht="54.6" customHeight="1" x14ac:dyDescent="0.2">
      <c r="A1" s="532"/>
      <c r="B1" s="533"/>
      <c r="C1" s="533"/>
      <c r="D1" s="533"/>
      <c r="E1" s="533"/>
      <c r="F1" s="533"/>
      <c r="G1" s="533"/>
      <c r="H1" s="534"/>
    </row>
    <row r="2" spans="1:13" ht="15" customHeight="1" x14ac:dyDescent="0.2">
      <c r="A2" s="545" t="s">
        <v>2</v>
      </c>
      <c r="B2" s="545"/>
      <c r="C2" s="545"/>
      <c r="D2" s="545"/>
      <c r="E2" s="545"/>
      <c r="F2" s="545"/>
      <c r="G2" s="545"/>
      <c r="H2" s="333" t="s">
        <v>131</v>
      </c>
    </row>
    <row r="3" spans="1:13" ht="15" customHeight="1" x14ac:dyDescent="0.2">
      <c r="A3" s="546" t="s">
        <v>221</v>
      </c>
      <c r="B3" s="547"/>
      <c r="C3" s="547"/>
      <c r="D3" s="547"/>
      <c r="E3" s="547"/>
      <c r="F3" s="547"/>
      <c r="G3" s="548"/>
      <c r="H3" s="436" t="s">
        <v>379</v>
      </c>
    </row>
    <row r="4" spans="1:13" x14ac:dyDescent="0.2">
      <c r="A4" s="537" t="s">
        <v>352</v>
      </c>
      <c r="B4" s="538"/>
      <c r="C4" s="538"/>
      <c r="D4" s="538"/>
      <c r="E4" s="539" t="s">
        <v>267</v>
      </c>
      <c r="F4" s="540"/>
      <c r="G4" s="543" t="s">
        <v>6</v>
      </c>
      <c r="H4" s="544"/>
    </row>
    <row r="5" spans="1:13" ht="15" customHeight="1" x14ac:dyDescent="0.2">
      <c r="A5" s="535" t="s">
        <v>353</v>
      </c>
      <c r="B5" s="536"/>
      <c r="C5" s="536"/>
      <c r="D5" s="536"/>
      <c r="E5" s="541" t="s">
        <v>350</v>
      </c>
      <c r="F5" s="542"/>
      <c r="G5" s="123" t="s">
        <v>10</v>
      </c>
      <c r="H5" s="124" t="s">
        <v>4</v>
      </c>
      <c r="J5" s="18"/>
      <c r="K5" s="18"/>
      <c r="L5" s="18"/>
    </row>
    <row r="6" spans="1:13" ht="15" customHeight="1" x14ac:dyDescent="0.2">
      <c r="A6" s="549" t="s">
        <v>185</v>
      </c>
      <c r="B6" s="538"/>
      <c r="C6" s="344" t="s">
        <v>309</v>
      </c>
      <c r="D6" s="343"/>
      <c r="E6" s="550" t="s">
        <v>351</v>
      </c>
      <c r="F6" s="551"/>
      <c r="G6" s="125" t="s">
        <v>133</v>
      </c>
      <c r="H6" s="122">
        <v>0.26469999999999999</v>
      </c>
      <c r="I6" s="437">
        <f>H84</f>
        <v>842254.45</v>
      </c>
      <c r="J6" s="19"/>
      <c r="K6" s="20"/>
    </row>
    <row r="7" spans="1:13" ht="13.9" customHeight="1" x14ac:dyDescent="0.2">
      <c r="A7" s="125" t="s">
        <v>0</v>
      </c>
      <c r="B7" s="125" t="s">
        <v>3</v>
      </c>
      <c r="C7" s="125" t="s">
        <v>132</v>
      </c>
      <c r="D7" s="125" t="s">
        <v>13</v>
      </c>
      <c r="E7" s="126" t="s">
        <v>14</v>
      </c>
      <c r="F7" s="127" t="s">
        <v>192</v>
      </c>
      <c r="G7" s="127" t="s">
        <v>193</v>
      </c>
      <c r="H7" s="127" t="s">
        <v>145</v>
      </c>
      <c r="I7" s="438"/>
    </row>
    <row r="8" spans="1:13" ht="13.9" customHeight="1" x14ac:dyDescent="0.2">
      <c r="A8" s="101">
        <v>1</v>
      </c>
      <c r="B8" s="101" t="s">
        <v>43</v>
      </c>
      <c r="C8" s="102" t="s">
        <v>117</v>
      </c>
      <c r="D8" s="103"/>
      <c r="E8" s="104"/>
      <c r="F8" s="104"/>
      <c r="G8" s="105"/>
      <c r="H8" s="106"/>
      <c r="I8" s="438"/>
    </row>
    <row r="9" spans="1:13" ht="13.9" customHeight="1" x14ac:dyDescent="0.2">
      <c r="A9" s="103" t="s">
        <v>44</v>
      </c>
      <c r="B9" s="103" t="s">
        <v>45</v>
      </c>
      <c r="C9" s="107" t="s">
        <v>46</v>
      </c>
      <c r="D9" s="103" t="s">
        <v>123</v>
      </c>
      <c r="E9" s="108">
        <f>MEM!L7</f>
        <v>2.1800000000000002</v>
      </c>
      <c r="F9" s="109">
        <v>9720.1</v>
      </c>
      <c r="G9" s="106">
        <f>ROUND(F9*($H$6+1),2)</f>
        <v>12293.01</v>
      </c>
      <c r="H9" s="106">
        <f>ROUND(E9*G9,2)</f>
        <v>26798.76</v>
      </c>
      <c r="I9" s="438"/>
    </row>
    <row r="10" spans="1:13" ht="13.9" customHeight="1" x14ac:dyDescent="0.2">
      <c r="A10" s="103" t="s">
        <v>47</v>
      </c>
      <c r="B10" s="103" t="s">
        <v>48</v>
      </c>
      <c r="C10" s="107" t="s">
        <v>49</v>
      </c>
      <c r="D10" s="103" t="s">
        <v>123</v>
      </c>
      <c r="E10" s="108">
        <f>MEM!L8</f>
        <v>0.03</v>
      </c>
      <c r="F10" s="109">
        <v>8249.5400000000009</v>
      </c>
      <c r="G10" s="106">
        <f>ROUND(F10*($H$6+1),2)</f>
        <v>10433.19</v>
      </c>
      <c r="H10" s="106">
        <f>ROUND(E10*G10,2)</f>
        <v>313</v>
      </c>
      <c r="I10" s="438"/>
    </row>
    <row r="11" spans="1:13" ht="13.9" customHeight="1" x14ac:dyDescent="0.2">
      <c r="A11" s="103" t="s">
        <v>50</v>
      </c>
      <c r="B11" s="103" t="s">
        <v>51</v>
      </c>
      <c r="C11" s="107" t="s">
        <v>52</v>
      </c>
      <c r="D11" s="103" t="s">
        <v>123</v>
      </c>
      <c r="E11" s="108">
        <f>MEM!L9</f>
        <v>0.03</v>
      </c>
      <c r="F11" s="109">
        <v>23794.19</v>
      </c>
      <c r="G11" s="106">
        <f>ROUND(F11*($H$6+1),2)</f>
        <v>30092.51</v>
      </c>
      <c r="H11" s="106">
        <f>ROUND(E11*G11,2)</f>
        <v>902.78</v>
      </c>
      <c r="I11" s="439">
        <f>ROUND(SUM(H9:H11),2)</f>
        <v>28014.54</v>
      </c>
      <c r="J11" s="448">
        <f>I11/H84</f>
        <v>3.3261373685826177E-2</v>
      </c>
      <c r="K11" s="449" t="s">
        <v>128</v>
      </c>
    </row>
    <row r="12" spans="1:13" ht="13.9" customHeight="1" x14ac:dyDescent="0.2">
      <c r="A12" s="110">
        <v>2</v>
      </c>
      <c r="B12" s="110"/>
      <c r="C12" s="111" t="s">
        <v>24</v>
      </c>
      <c r="D12" s="110"/>
      <c r="E12" s="108">
        <f>MEM!L10</f>
        <v>0</v>
      </c>
      <c r="F12" s="104"/>
      <c r="G12" s="106"/>
      <c r="H12" s="106"/>
      <c r="I12" s="440"/>
      <c r="J12" s="441"/>
      <c r="K12" s="450"/>
    </row>
    <row r="13" spans="1:13" ht="24" customHeight="1" thickBot="1" x14ac:dyDescent="0.25">
      <c r="A13" s="112" t="s">
        <v>9</v>
      </c>
      <c r="B13" s="113" t="s">
        <v>31</v>
      </c>
      <c r="C13" s="99" t="s">
        <v>134</v>
      </c>
      <c r="D13" s="113" t="s">
        <v>122</v>
      </c>
      <c r="E13" s="108">
        <f>MEM!L11</f>
        <v>2</v>
      </c>
      <c r="F13" s="114">
        <v>261.86</v>
      </c>
      <c r="G13" s="106">
        <f>ROUND(F13*($H$6+1),2)</f>
        <v>331.17</v>
      </c>
      <c r="H13" s="106">
        <f>ROUND(E13*G13,2)</f>
        <v>662.34</v>
      </c>
      <c r="I13" s="441"/>
      <c r="J13" s="451">
        <f>ROUND(K14*J14/100,2)</f>
        <v>4190.32</v>
      </c>
      <c r="K13" s="452">
        <f>H14-J13</f>
        <v>7.0000000050640665E-4</v>
      </c>
      <c r="M13" s="22"/>
    </row>
    <row r="14" spans="1:13" ht="13.9" customHeight="1" thickBot="1" x14ac:dyDescent="0.25">
      <c r="A14" s="112" t="s">
        <v>30</v>
      </c>
      <c r="B14" s="115" t="s">
        <v>327</v>
      </c>
      <c r="C14" s="99" t="s">
        <v>328</v>
      </c>
      <c r="D14" s="116" t="s">
        <v>32</v>
      </c>
      <c r="E14" s="108">
        <f>MEM!L12</f>
        <v>0.5</v>
      </c>
      <c r="F14" s="117">
        <f>ROUND(G14/1.2647,2)</f>
        <v>662658.43999999994</v>
      </c>
      <c r="G14" s="106">
        <f>J14</f>
        <v>838064.13</v>
      </c>
      <c r="H14" s="106">
        <f>ROUND(E14*G14,2)/100</f>
        <v>4190.3207000000002</v>
      </c>
      <c r="I14" s="442">
        <f>ROUND(SUM(H13:H14),2)</f>
        <v>4852.66</v>
      </c>
      <c r="J14" s="453">
        <v>838064.13</v>
      </c>
      <c r="K14" s="454">
        <f>E14</f>
        <v>0.5</v>
      </c>
      <c r="L14" s="17"/>
      <c r="M14" s="22"/>
    </row>
    <row r="15" spans="1:13" ht="13.9" customHeight="1" x14ac:dyDescent="0.2">
      <c r="A15" s="110">
        <v>3</v>
      </c>
      <c r="B15" s="115"/>
      <c r="C15" s="118" t="s">
        <v>240</v>
      </c>
      <c r="D15" s="116"/>
      <c r="E15" s="108">
        <f>MEM!L13</f>
        <v>0</v>
      </c>
      <c r="F15" s="114"/>
      <c r="G15" s="106">
        <f t="shared" ref="G15:G83" si="0">ROUND(F15*($H$6+1),2)</f>
        <v>0</v>
      </c>
      <c r="H15" s="106">
        <f t="shared" ref="H15:H83" si="1">ROUND(E15*G15,2)</f>
        <v>0</v>
      </c>
      <c r="I15" s="443"/>
      <c r="L15" s="17"/>
      <c r="M15" s="22"/>
    </row>
    <row r="16" spans="1:13" ht="13.9" customHeight="1" x14ac:dyDescent="0.2">
      <c r="A16" s="112" t="s">
        <v>53</v>
      </c>
      <c r="B16" s="115"/>
      <c r="C16" s="99" t="s">
        <v>222</v>
      </c>
      <c r="D16" s="116"/>
      <c r="E16" s="108">
        <f>MEM!L14</f>
        <v>0</v>
      </c>
      <c r="F16" s="114"/>
      <c r="G16" s="106">
        <f t="shared" si="0"/>
        <v>0</v>
      </c>
      <c r="H16" s="106">
        <f t="shared" si="1"/>
        <v>0</v>
      </c>
      <c r="I16" s="443"/>
      <c r="L16" s="17"/>
      <c r="M16" s="22"/>
    </row>
    <row r="17" spans="1:30" ht="13.9" customHeight="1" x14ac:dyDescent="0.2">
      <c r="A17" s="112" t="s">
        <v>119</v>
      </c>
      <c r="B17" s="112" t="s">
        <v>126</v>
      </c>
      <c r="C17" s="119" t="s">
        <v>241</v>
      </c>
      <c r="D17" s="113" t="s">
        <v>124</v>
      </c>
      <c r="E17" s="108">
        <f>MEM!L15</f>
        <v>46.55</v>
      </c>
      <c r="F17" s="114">
        <v>45.36</v>
      </c>
      <c r="G17" s="106">
        <f t="shared" si="0"/>
        <v>57.37</v>
      </c>
      <c r="H17" s="106">
        <f t="shared" si="1"/>
        <v>2670.57</v>
      </c>
      <c r="I17" s="444"/>
      <c r="J17" s="22"/>
      <c r="K17" s="402"/>
      <c r="L17" s="402"/>
      <c r="M17" s="22"/>
    </row>
    <row r="18" spans="1:30" ht="24" customHeight="1" x14ac:dyDescent="0.2">
      <c r="A18" s="112" t="s">
        <v>120</v>
      </c>
      <c r="B18" s="112" t="s">
        <v>255</v>
      </c>
      <c r="C18" s="120" t="s">
        <v>256</v>
      </c>
      <c r="D18" s="113" t="s">
        <v>121</v>
      </c>
      <c r="E18" s="108">
        <f>MEM!L16</f>
        <v>3</v>
      </c>
      <c r="F18" s="114">
        <v>175.88</v>
      </c>
      <c r="G18" s="106">
        <f t="shared" si="0"/>
        <v>222.44</v>
      </c>
      <c r="H18" s="106">
        <f t="shared" si="1"/>
        <v>667.32</v>
      </c>
      <c r="I18" s="444"/>
      <c r="J18" s="22"/>
      <c r="K18" s="402"/>
      <c r="L18" s="402"/>
      <c r="M18" s="22"/>
    </row>
    <row r="19" spans="1:30" ht="13.9" customHeight="1" x14ac:dyDescent="0.2">
      <c r="A19" s="112" t="s">
        <v>223</v>
      </c>
      <c r="B19" s="113" t="s">
        <v>202</v>
      </c>
      <c r="C19" s="99" t="s">
        <v>204</v>
      </c>
      <c r="D19" s="116" t="s">
        <v>121</v>
      </c>
      <c r="E19" s="108">
        <f>MEM!L17</f>
        <v>5.09</v>
      </c>
      <c r="F19" s="114">
        <v>27.9</v>
      </c>
      <c r="G19" s="106">
        <f t="shared" si="0"/>
        <v>35.29</v>
      </c>
      <c r="H19" s="106">
        <f t="shared" si="1"/>
        <v>179.63</v>
      </c>
      <c r="I19" s="444"/>
      <c r="J19" s="22"/>
      <c r="K19" s="87"/>
      <c r="L19" s="403"/>
      <c r="M19" s="95"/>
      <c r="P19" s="531"/>
      <c r="Q19" s="531"/>
      <c r="R19" s="531"/>
      <c r="S19" s="531"/>
      <c r="T19" s="531"/>
      <c r="U19" s="531"/>
      <c r="V19" s="531"/>
      <c r="W19" s="531"/>
      <c r="X19" s="529"/>
      <c r="Y19" s="529"/>
      <c r="Z19" s="530"/>
      <c r="AA19" s="529"/>
      <c r="AB19" s="529"/>
      <c r="AC19" s="529"/>
      <c r="AD19" s="93"/>
    </row>
    <row r="20" spans="1:30" ht="24" customHeight="1" x14ac:dyDescent="0.2">
      <c r="A20" s="112" t="s">
        <v>257</v>
      </c>
      <c r="B20" s="113" t="s">
        <v>203</v>
      </c>
      <c r="C20" s="99" t="s">
        <v>205</v>
      </c>
      <c r="D20" s="116" t="s">
        <v>127</v>
      </c>
      <c r="E20" s="108">
        <f>MEM!L18</f>
        <v>10.18</v>
      </c>
      <c r="F20" s="114">
        <v>4.1500000000000004</v>
      </c>
      <c r="G20" s="106">
        <f t="shared" si="0"/>
        <v>5.25</v>
      </c>
      <c r="H20" s="106">
        <f t="shared" si="1"/>
        <v>53.45</v>
      </c>
      <c r="I20" s="439">
        <f>ROUND(SUM(H17:H20),2)</f>
        <v>3570.97</v>
      </c>
      <c r="J20" s="22"/>
      <c r="K20" s="21"/>
      <c r="L20" s="17"/>
      <c r="M20" s="95"/>
      <c r="P20" s="531"/>
      <c r="Q20" s="531"/>
      <c r="R20" s="531"/>
      <c r="S20" s="531"/>
      <c r="T20" s="531"/>
      <c r="U20" s="531"/>
      <c r="V20" s="531"/>
      <c r="W20" s="531"/>
      <c r="X20" s="529"/>
      <c r="Y20" s="529"/>
      <c r="Z20" s="529"/>
      <c r="AA20" s="529"/>
      <c r="AB20" s="529"/>
      <c r="AC20" s="529"/>
      <c r="AD20" s="94"/>
    </row>
    <row r="21" spans="1:30" ht="13.9" customHeight="1" x14ac:dyDescent="0.2">
      <c r="A21" s="112" t="s">
        <v>329</v>
      </c>
      <c r="B21" s="116"/>
      <c r="C21" s="120" t="s">
        <v>242</v>
      </c>
      <c r="D21" s="113"/>
      <c r="E21" s="108">
        <f>MEM!L19</f>
        <v>0</v>
      </c>
      <c r="F21" s="114"/>
      <c r="G21" s="106">
        <f t="shared" si="0"/>
        <v>0</v>
      </c>
      <c r="H21" s="106">
        <f t="shared" si="1"/>
        <v>0</v>
      </c>
      <c r="I21" s="444"/>
      <c r="J21" s="22"/>
      <c r="K21" s="21"/>
      <c r="L21" s="17"/>
      <c r="M21" s="95"/>
      <c r="P21" s="91"/>
      <c r="Q21" s="91"/>
      <c r="R21" s="91"/>
      <c r="S21" s="91"/>
      <c r="T21" s="91"/>
      <c r="U21" s="91"/>
      <c r="V21" s="91"/>
      <c r="W21" s="91"/>
      <c r="X21" s="92"/>
      <c r="Y21" s="92"/>
      <c r="Z21" s="92"/>
      <c r="AA21" s="92"/>
      <c r="AB21" s="92"/>
      <c r="AC21" s="92"/>
      <c r="AD21" s="94"/>
    </row>
    <row r="22" spans="1:30" ht="13.9" customHeight="1" x14ac:dyDescent="0.2">
      <c r="A22" s="112" t="s">
        <v>330</v>
      </c>
      <c r="B22" s="116" t="s">
        <v>218</v>
      </c>
      <c r="C22" s="120" t="s">
        <v>245</v>
      </c>
      <c r="D22" s="113" t="s">
        <v>121</v>
      </c>
      <c r="E22" s="108">
        <f>MEM!L20</f>
        <v>1.77</v>
      </c>
      <c r="F22" s="114">
        <v>80.459999999999994</v>
      </c>
      <c r="G22" s="106">
        <f t="shared" si="0"/>
        <v>101.76</v>
      </c>
      <c r="H22" s="106">
        <f t="shared" si="1"/>
        <v>180.12</v>
      </c>
      <c r="I22" s="444"/>
      <c r="J22" s="22"/>
      <c r="K22" s="21"/>
      <c r="L22" s="17"/>
      <c r="M22" s="95"/>
      <c r="P22" s="91"/>
      <c r="Q22" s="91"/>
      <c r="R22" s="91"/>
      <c r="S22" s="91"/>
      <c r="T22" s="91"/>
      <c r="U22" s="91"/>
      <c r="V22" s="91"/>
      <c r="W22" s="91"/>
      <c r="X22" s="92"/>
      <c r="Y22" s="92"/>
      <c r="Z22" s="92"/>
      <c r="AA22" s="92"/>
      <c r="AB22" s="92"/>
      <c r="AC22" s="92"/>
      <c r="AD22" s="94"/>
    </row>
    <row r="23" spans="1:30" ht="13.9" customHeight="1" x14ac:dyDescent="0.2">
      <c r="A23" s="112" t="s">
        <v>331</v>
      </c>
      <c r="B23" s="116"/>
      <c r="C23" s="120" t="s">
        <v>246</v>
      </c>
      <c r="D23" s="113"/>
      <c r="E23" s="108">
        <f>MEM!L21</f>
        <v>0</v>
      </c>
      <c r="F23" s="114"/>
      <c r="G23" s="106">
        <f t="shared" si="0"/>
        <v>0</v>
      </c>
      <c r="H23" s="106">
        <f t="shared" si="1"/>
        <v>0</v>
      </c>
      <c r="I23" s="444"/>
      <c r="J23" s="22"/>
      <c r="K23" s="21"/>
      <c r="L23" s="17"/>
      <c r="M23" s="95"/>
      <c r="P23" s="91"/>
      <c r="Q23" s="91"/>
      <c r="R23" s="91"/>
      <c r="S23" s="91"/>
      <c r="T23" s="91"/>
      <c r="U23" s="91"/>
      <c r="V23" s="91"/>
      <c r="W23" s="91"/>
      <c r="X23" s="92"/>
      <c r="Y23" s="92"/>
      <c r="Z23" s="92"/>
      <c r="AA23" s="92"/>
      <c r="AB23" s="92"/>
      <c r="AC23" s="92"/>
      <c r="AD23" s="94"/>
    </row>
    <row r="24" spans="1:30" ht="13.9" customHeight="1" x14ac:dyDescent="0.2">
      <c r="A24" s="112" t="s">
        <v>332</v>
      </c>
      <c r="B24" s="113" t="s">
        <v>212</v>
      </c>
      <c r="C24" s="99" t="s">
        <v>213</v>
      </c>
      <c r="D24" s="113" t="s">
        <v>122</v>
      </c>
      <c r="E24" s="108">
        <f>MEM!L22</f>
        <v>35.4</v>
      </c>
      <c r="F24" s="114">
        <v>78.150000000000006</v>
      </c>
      <c r="G24" s="106">
        <f t="shared" si="0"/>
        <v>98.84</v>
      </c>
      <c r="H24" s="106">
        <f t="shared" si="1"/>
        <v>3498.94</v>
      </c>
      <c r="I24" s="444"/>
      <c r="J24" s="22"/>
      <c r="K24" s="21"/>
      <c r="L24" s="17"/>
      <c r="M24" s="95"/>
      <c r="P24" s="91"/>
      <c r="Q24" s="91"/>
      <c r="R24" s="91"/>
      <c r="S24" s="91"/>
      <c r="T24" s="91"/>
      <c r="U24" s="91"/>
      <c r="V24" s="91"/>
      <c r="W24" s="91"/>
      <c r="X24" s="92"/>
      <c r="Y24" s="92"/>
      <c r="Z24" s="92"/>
      <c r="AA24" s="92"/>
      <c r="AB24" s="92"/>
      <c r="AC24" s="92"/>
      <c r="AD24" s="94"/>
    </row>
    <row r="25" spans="1:30" ht="13.9" customHeight="1" x14ac:dyDescent="0.2">
      <c r="A25" s="112" t="s">
        <v>333</v>
      </c>
      <c r="B25" s="113" t="s">
        <v>214</v>
      </c>
      <c r="C25" s="99" t="s">
        <v>215</v>
      </c>
      <c r="D25" s="116" t="s">
        <v>247</v>
      </c>
      <c r="E25" s="108">
        <f>MEM!L23</f>
        <v>79.8</v>
      </c>
      <c r="F25" s="114">
        <v>13.38</v>
      </c>
      <c r="G25" s="106">
        <f t="shared" si="0"/>
        <v>16.920000000000002</v>
      </c>
      <c r="H25" s="106">
        <f t="shared" si="1"/>
        <v>1350.22</v>
      </c>
      <c r="I25" s="444"/>
      <c r="J25" s="22"/>
      <c r="K25" s="21"/>
      <c r="L25" s="17"/>
      <c r="M25" s="95"/>
      <c r="P25" s="91"/>
      <c r="Q25" s="91"/>
      <c r="R25" s="91"/>
      <c r="S25" s="91"/>
      <c r="T25" s="91"/>
      <c r="U25" s="91"/>
      <c r="V25" s="91"/>
      <c r="W25" s="91"/>
      <c r="X25" s="92"/>
      <c r="Y25" s="92"/>
      <c r="Z25" s="92"/>
      <c r="AA25" s="92"/>
      <c r="AB25" s="92"/>
      <c r="AC25" s="92"/>
      <c r="AD25" s="94"/>
    </row>
    <row r="26" spans="1:30" ht="13.9" customHeight="1" x14ac:dyDescent="0.2">
      <c r="A26" s="112" t="s">
        <v>334</v>
      </c>
      <c r="B26" s="113" t="s">
        <v>216</v>
      </c>
      <c r="C26" s="99" t="s">
        <v>217</v>
      </c>
      <c r="D26" s="113" t="s">
        <v>121</v>
      </c>
      <c r="E26" s="108">
        <f>MEM!L24</f>
        <v>2.66</v>
      </c>
      <c r="F26" s="114">
        <v>647.83000000000004</v>
      </c>
      <c r="G26" s="106">
        <f t="shared" si="0"/>
        <v>819.31</v>
      </c>
      <c r="H26" s="106">
        <f t="shared" si="1"/>
        <v>2179.36</v>
      </c>
      <c r="I26" s="444"/>
      <c r="J26" s="22"/>
      <c r="K26" s="21"/>
      <c r="L26" s="17"/>
      <c r="M26" s="95"/>
      <c r="P26" s="91"/>
      <c r="Q26" s="91"/>
      <c r="R26" s="91"/>
      <c r="S26" s="91"/>
      <c r="T26" s="91"/>
      <c r="U26" s="91"/>
      <c r="V26" s="91"/>
      <c r="W26" s="91"/>
      <c r="X26" s="92"/>
      <c r="Y26" s="92"/>
      <c r="Z26" s="92"/>
      <c r="AA26" s="92"/>
      <c r="AB26" s="92"/>
      <c r="AC26" s="92"/>
      <c r="AD26" s="94"/>
    </row>
    <row r="27" spans="1:30" ht="24" customHeight="1" x14ac:dyDescent="0.2">
      <c r="A27" s="112" t="s">
        <v>335</v>
      </c>
      <c r="B27" s="113" t="s">
        <v>299</v>
      </c>
      <c r="C27" s="99" t="s">
        <v>300</v>
      </c>
      <c r="D27" s="116" t="s">
        <v>124</v>
      </c>
      <c r="E27" s="108">
        <f>MEM!L25</f>
        <v>59</v>
      </c>
      <c r="F27" s="114">
        <v>62.08</v>
      </c>
      <c r="G27" s="106">
        <f t="shared" si="0"/>
        <v>78.510000000000005</v>
      </c>
      <c r="H27" s="106">
        <f t="shared" si="1"/>
        <v>4632.09</v>
      </c>
      <c r="I27" s="439">
        <f>ROUND(SUM(H22:H27),2)</f>
        <v>11840.73</v>
      </c>
      <c r="J27" s="22"/>
      <c r="K27" s="21"/>
      <c r="L27" s="17"/>
      <c r="M27" s="95"/>
      <c r="P27" s="91"/>
      <c r="Q27" s="91"/>
      <c r="R27" s="91"/>
      <c r="S27" s="91"/>
      <c r="T27" s="91"/>
      <c r="U27" s="91"/>
      <c r="V27" s="91"/>
      <c r="W27" s="91"/>
      <c r="X27" s="92"/>
      <c r="Y27" s="92"/>
      <c r="Z27" s="92"/>
      <c r="AA27" s="92"/>
      <c r="AB27" s="92"/>
      <c r="AC27" s="92"/>
      <c r="AD27" s="94"/>
    </row>
    <row r="28" spans="1:30" ht="13.9" customHeight="1" x14ac:dyDescent="0.2">
      <c r="A28" s="112" t="s">
        <v>115</v>
      </c>
      <c r="B28" s="113"/>
      <c r="C28" s="99" t="s">
        <v>313</v>
      </c>
      <c r="D28" s="116"/>
      <c r="E28" s="108">
        <f>MEM!L26</f>
        <v>0</v>
      </c>
      <c r="F28" s="114"/>
      <c r="G28" s="106"/>
      <c r="H28" s="106"/>
      <c r="I28" s="444"/>
      <c r="J28" s="22"/>
      <c r="K28" s="21"/>
      <c r="L28" s="17"/>
      <c r="M28" s="95"/>
      <c r="P28" s="91"/>
      <c r="Q28" s="91"/>
      <c r="R28" s="91"/>
      <c r="S28" s="91"/>
      <c r="T28" s="91"/>
      <c r="U28" s="91"/>
      <c r="V28" s="91"/>
      <c r="W28" s="91"/>
      <c r="X28" s="92"/>
      <c r="Y28" s="92"/>
      <c r="Z28" s="92"/>
      <c r="AA28" s="92"/>
      <c r="AB28" s="92"/>
      <c r="AC28" s="92"/>
      <c r="AD28" s="94"/>
    </row>
    <row r="29" spans="1:30" ht="13.9" customHeight="1" x14ac:dyDescent="0.2">
      <c r="A29" s="112" t="s">
        <v>258</v>
      </c>
      <c r="B29" s="116" t="s">
        <v>248</v>
      </c>
      <c r="C29" s="120" t="s">
        <v>249</v>
      </c>
      <c r="D29" s="113" t="s">
        <v>122</v>
      </c>
      <c r="E29" s="108">
        <f>MEM!L27</f>
        <v>74.34</v>
      </c>
      <c r="F29" s="114">
        <v>38.43</v>
      </c>
      <c r="G29" s="106">
        <f t="shared" si="0"/>
        <v>48.6</v>
      </c>
      <c r="H29" s="106">
        <f t="shared" si="1"/>
        <v>3612.92</v>
      </c>
      <c r="I29" s="444"/>
      <c r="J29" s="22"/>
      <c r="K29" s="21"/>
      <c r="L29" s="17"/>
      <c r="M29" s="95"/>
      <c r="P29" s="91"/>
      <c r="Q29" s="91"/>
      <c r="R29" s="91"/>
      <c r="S29" s="91"/>
      <c r="T29" s="91"/>
      <c r="U29" s="91"/>
      <c r="V29" s="91"/>
      <c r="W29" s="91"/>
      <c r="X29" s="92"/>
      <c r="Y29" s="92"/>
      <c r="Z29" s="92"/>
      <c r="AA29" s="92"/>
      <c r="AB29" s="92"/>
      <c r="AC29" s="92"/>
      <c r="AD29" s="94"/>
    </row>
    <row r="30" spans="1:30" ht="13.9" customHeight="1" x14ac:dyDescent="0.2">
      <c r="A30" s="112" t="s">
        <v>259</v>
      </c>
      <c r="B30" s="116" t="s">
        <v>250</v>
      </c>
      <c r="C30" s="120" t="s">
        <v>251</v>
      </c>
      <c r="D30" s="113" t="s">
        <v>13</v>
      </c>
      <c r="E30" s="108">
        <f>MEM!L28</f>
        <v>10</v>
      </c>
      <c r="F30" s="114">
        <v>6.75</v>
      </c>
      <c r="G30" s="106">
        <f t="shared" si="0"/>
        <v>8.5399999999999991</v>
      </c>
      <c r="H30" s="106">
        <f t="shared" si="1"/>
        <v>85.4</v>
      </c>
      <c r="I30" s="444"/>
      <c r="J30" s="22"/>
      <c r="K30" s="21"/>
      <c r="L30" s="17"/>
      <c r="M30" s="95"/>
      <c r="P30" s="91"/>
      <c r="Q30" s="91"/>
      <c r="R30" s="91"/>
      <c r="S30" s="91"/>
      <c r="T30" s="91"/>
      <c r="U30" s="91"/>
      <c r="V30" s="91"/>
      <c r="W30" s="91"/>
      <c r="X30" s="92"/>
      <c r="Y30" s="92"/>
      <c r="Z30" s="92"/>
      <c r="AA30" s="92"/>
      <c r="AB30" s="92"/>
      <c r="AC30" s="92"/>
      <c r="AD30" s="94"/>
    </row>
    <row r="31" spans="1:30" ht="13.9" customHeight="1" x14ac:dyDescent="0.2">
      <c r="A31" s="112" t="s">
        <v>260</v>
      </c>
      <c r="B31" s="116" t="s">
        <v>252</v>
      </c>
      <c r="C31" s="120" t="s">
        <v>253</v>
      </c>
      <c r="D31" s="113" t="s">
        <v>13</v>
      </c>
      <c r="E31" s="108">
        <f>MEM!L29</f>
        <v>10</v>
      </c>
      <c r="F31" s="114">
        <v>12.76</v>
      </c>
      <c r="G31" s="106">
        <f t="shared" si="0"/>
        <v>16.14</v>
      </c>
      <c r="H31" s="106">
        <f t="shared" si="1"/>
        <v>161.4</v>
      </c>
      <c r="I31" s="439">
        <f>ROUND(SUM(H29:H31),2)</f>
        <v>3859.72</v>
      </c>
      <c r="J31" s="22"/>
      <c r="K31" s="21"/>
      <c r="L31" s="17"/>
      <c r="M31" s="95"/>
      <c r="P31" s="91"/>
      <c r="Q31" s="91"/>
      <c r="R31" s="91"/>
      <c r="S31" s="91"/>
      <c r="T31" s="91"/>
      <c r="U31" s="91"/>
      <c r="V31" s="91"/>
      <c r="W31" s="91"/>
      <c r="X31" s="92"/>
      <c r="Y31" s="92"/>
      <c r="Z31" s="92"/>
      <c r="AA31" s="92"/>
      <c r="AB31" s="92"/>
      <c r="AC31" s="92"/>
      <c r="AD31" s="94"/>
    </row>
    <row r="32" spans="1:30" ht="13.9" customHeight="1" x14ac:dyDescent="0.2">
      <c r="A32" s="112" t="s">
        <v>200</v>
      </c>
      <c r="B32" s="116"/>
      <c r="C32" s="120" t="s">
        <v>199</v>
      </c>
      <c r="D32" s="113"/>
      <c r="E32" s="108">
        <f>MEM!L30</f>
        <v>0</v>
      </c>
      <c r="F32" s="114"/>
      <c r="G32" s="106">
        <f t="shared" si="0"/>
        <v>0</v>
      </c>
      <c r="H32" s="106">
        <f t="shared" si="1"/>
        <v>0</v>
      </c>
      <c r="I32" s="444"/>
      <c r="J32" s="22"/>
      <c r="K32" s="21"/>
      <c r="L32" s="17"/>
      <c r="M32" s="95"/>
      <c r="P32" s="91"/>
      <c r="Q32" s="91"/>
      <c r="R32" s="91"/>
      <c r="S32" s="91"/>
      <c r="T32" s="91"/>
      <c r="U32" s="91"/>
      <c r="V32" s="91"/>
      <c r="W32" s="91"/>
      <c r="X32" s="92"/>
      <c r="Y32" s="92"/>
      <c r="Z32" s="92"/>
      <c r="AA32" s="92"/>
      <c r="AB32" s="92"/>
      <c r="AC32" s="92"/>
      <c r="AD32" s="94"/>
    </row>
    <row r="33" spans="1:30" ht="13.9" customHeight="1" x14ac:dyDescent="0.2">
      <c r="A33" s="112" t="s">
        <v>201</v>
      </c>
      <c r="B33" s="113" t="s">
        <v>265</v>
      </c>
      <c r="C33" s="99" t="s">
        <v>266</v>
      </c>
      <c r="D33" s="116" t="s">
        <v>121</v>
      </c>
      <c r="E33" s="108">
        <f>MEM!L31</f>
        <v>1.08</v>
      </c>
      <c r="F33" s="114">
        <v>11.48</v>
      </c>
      <c r="G33" s="106">
        <f t="shared" si="0"/>
        <v>14.52</v>
      </c>
      <c r="H33" s="106">
        <f t="shared" si="1"/>
        <v>15.68</v>
      </c>
      <c r="I33" s="444"/>
      <c r="J33" s="22"/>
      <c r="K33" s="21"/>
      <c r="L33" s="17"/>
      <c r="M33" s="95"/>
      <c r="P33" s="91"/>
      <c r="Q33" s="91"/>
      <c r="R33" s="91"/>
      <c r="S33" s="91"/>
      <c r="T33" s="91"/>
      <c r="U33" s="91"/>
      <c r="V33" s="91"/>
      <c r="W33" s="91"/>
      <c r="X33" s="92"/>
      <c r="Y33" s="92"/>
      <c r="Z33" s="92"/>
      <c r="AA33" s="92"/>
      <c r="AB33" s="92"/>
      <c r="AC33" s="92"/>
      <c r="AD33" s="94"/>
    </row>
    <row r="34" spans="1:30" ht="24" customHeight="1" x14ac:dyDescent="0.2">
      <c r="A34" s="112" t="s">
        <v>194</v>
      </c>
      <c r="B34" s="113" t="s">
        <v>203</v>
      </c>
      <c r="C34" s="99" t="s">
        <v>205</v>
      </c>
      <c r="D34" s="116" t="s">
        <v>127</v>
      </c>
      <c r="E34" s="108">
        <f>MEM!L32</f>
        <v>2.16</v>
      </c>
      <c r="F34" s="114">
        <v>4.1500000000000004</v>
      </c>
      <c r="G34" s="106">
        <f t="shared" si="0"/>
        <v>5.25</v>
      </c>
      <c r="H34" s="106">
        <f t="shared" si="1"/>
        <v>11.34</v>
      </c>
      <c r="I34" s="444"/>
      <c r="J34" s="22"/>
      <c r="K34" s="21"/>
      <c r="L34" s="17"/>
      <c r="M34" s="95"/>
      <c r="P34" s="91"/>
      <c r="Q34" s="91"/>
      <c r="R34" s="91"/>
      <c r="S34" s="91"/>
      <c r="T34" s="91"/>
      <c r="U34" s="91"/>
      <c r="V34" s="91"/>
      <c r="W34" s="91"/>
      <c r="X34" s="92"/>
      <c r="Y34" s="92"/>
      <c r="Z34" s="92"/>
      <c r="AA34" s="92"/>
      <c r="AB34" s="92"/>
      <c r="AC34" s="92"/>
      <c r="AD34" s="94"/>
    </row>
    <row r="35" spans="1:30" ht="13.9" customHeight="1" x14ac:dyDescent="0.2">
      <c r="A35" s="112" t="s">
        <v>305</v>
      </c>
      <c r="B35" s="113" t="s">
        <v>35</v>
      </c>
      <c r="C35" s="99" t="s">
        <v>33</v>
      </c>
      <c r="D35" s="113" t="s">
        <v>122</v>
      </c>
      <c r="E35" s="108">
        <f>MEM!L33</f>
        <v>1.34</v>
      </c>
      <c r="F35" s="114">
        <v>15.26</v>
      </c>
      <c r="G35" s="106">
        <f t="shared" si="0"/>
        <v>19.3</v>
      </c>
      <c r="H35" s="106">
        <f t="shared" si="1"/>
        <v>25.86</v>
      </c>
      <c r="I35" s="444"/>
      <c r="J35" s="22"/>
      <c r="K35" s="21"/>
      <c r="L35" s="17"/>
      <c r="M35" s="95"/>
      <c r="P35" s="91"/>
      <c r="Q35" s="91"/>
      <c r="R35" s="91"/>
      <c r="S35" s="91"/>
      <c r="T35" s="91"/>
      <c r="U35" s="91"/>
      <c r="V35" s="91"/>
      <c r="W35" s="91"/>
      <c r="X35" s="92"/>
      <c r="Y35" s="92"/>
      <c r="Z35" s="92"/>
      <c r="AA35" s="92"/>
      <c r="AB35" s="92"/>
      <c r="AC35" s="92"/>
      <c r="AD35" s="94"/>
    </row>
    <row r="36" spans="1:30" ht="24" customHeight="1" x14ac:dyDescent="0.2">
      <c r="A36" s="112" t="s">
        <v>336</v>
      </c>
      <c r="B36" s="113" t="s">
        <v>356</v>
      </c>
      <c r="C36" s="99" t="s">
        <v>357</v>
      </c>
      <c r="D36" s="116" t="s">
        <v>124</v>
      </c>
      <c r="E36" s="108">
        <f>MEM!L34</f>
        <v>1.1200000000000001</v>
      </c>
      <c r="F36" s="114">
        <v>198.98</v>
      </c>
      <c r="G36" s="106">
        <f t="shared" si="0"/>
        <v>251.65</v>
      </c>
      <c r="H36" s="106">
        <f t="shared" si="1"/>
        <v>281.85000000000002</v>
      </c>
      <c r="I36" s="444"/>
      <c r="J36" s="22"/>
      <c r="K36" s="21"/>
      <c r="L36" s="17"/>
      <c r="M36" s="95"/>
      <c r="P36" s="91"/>
      <c r="Q36" s="91"/>
      <c r="R36" s="91"/>
      <c r="S36" s="91"/>
      <c r="T36" s="91"/>
      <c r="U36" s="91"/>
      <c r="V36" s="91"/>
      <c r="W36" s="91"/>
      <c r="X36" s="92"/>
      <c r="Y36" s="92"/>
      <c r="Z36" s="92"/>
      <c r="AA36" s="92"/>
      <c r="AB36" s="92"/>
      <c r="AC36" s="92"/>
      <c r="AD36" s="94"/>
    </row>
    <row r="37" spans="1:30" ht="13.9" customHeight="1" x14ac:dyDescent="0.2">
      <c r="A37" s="112" t="s">
        <v>337</v>
      </c>
      <c r="B37" s="113" t="s">
        <v>36</v>
      </c>
      <c r="C37" s="99" t="s">
        <v>34</v>
      </c>
      <c r="D37" s="113" t="s">
        <v>121</v>
      </c>
      <c r="E37" s="108">
        <f>MEM!L35</f>
        <v>0.93</v>
      </c>
      <c r="F37" s="114">
        <v>50.57</v>
      </c>
      <c r="G37" s="106">
        <f t="shared" si="0"/>
        <v>63.96</v>
      </c>
      <c r="H37" s="106">
        <f t="shared" si="1"/>
        <v>59.48</v>
      </c>
      <c r="I37" s="444"/>
      <c r="J37" s="22"/>
      <c r="K37" s="21"/>
      <c r="L37" s="17"/>
      <c r="M37" s="95"/>
      <c r="P37" s="91"/>
      <c r="Q37" s="91"/>
      <c r="R37" s="91"/>
      <c r="S37" s="91"/>
      <c r="T37" s="91"/>
      <c r="U37" s="91"/>
      <c r="V37" s="91"/>
      <c r="W37" s="91"/>
      <c r="X37" s="92"/>
      <c r="Y37" s="92"/>
      <c r="Z37" s="92"/>
      <c r="AA37" s="92"/>
      <c r="AB37" s="92"/>
      <c r="AC37" s="92"/>
      <c r="AD37" s="94"/>
    </row>
    <row r="38" spans="1:30" ht="24" customHeight="1" x14ac:dyDescent="0.2">
      <c r="A38" s="112" t="s">
        <v>338</v>
      </c>
      <c r="B38" s="96" t="s">
        <v>367</v>
      </c>
      <c r="C38" s="99" t="s">
        <v>368</v>
      </c>
      <c r="D38" s="116" t="s">
        <v>13</v>
      </c>
      <c r="E38" s="108">
        <f>MEM!L36</f>
        <v>1</v>
      </c>
      <c r="F38" s="114">
        <v>1309.1300000000001</v>
      </c>
      <c r="G38" s="106">
        <f t="shared" si="0"/>
        <v>1655.66</v>
      </c>
      <c r="H38" s="106">
        <f t="shared" si="1"/>
        <v>1655.66</v>
      </c>
      <c r="I38" s="439">
        <f>ROUND(SUM(H33:H38),2)</f>
        <v>2049.87</v>
      </c>
      <c r="J38" s="22"/>
      <c r="K38" s="21"/>
      <c r="L38" s="17"/>
      <c r="M38" s="95"/>
      <c r="P38" s="91"/>
      <c r="Q38" s="91"/>
      <c r="R38" s="91"/>
      <c r="S38" s="91"/>
      <c r="T38" s="91"/>
      <c r="U38" s="91"/>
      <c r="V38" s="91"/>
      <c r="W38" s="91"/>
      <c r="X38" s="92"/>
      <c r="Y38" s="92"/>
      <c r="Z38" s="92"/>
      <c r="AA38" s="92"/>
      <c r="AB38" s="92"/>
      <c r="AC38" s="92"/>
      <c r="AD38" s="94"/>
    </row>
    <row r="39" spans="1:30" ht="13.9" customHeight="1" x14ac:dyDescent="0.2">
      <c r="A39" s="112" t="s">
        <v>195</v>
      </c>
      <c r="B39" s="116"/>
      <c r="C39" s="120" t="s">
        <v>220</v>
      </c>
      <c r="D39" s="113"/>
      <c r="E39" s="108">
        <f>MEM!L37</f>
        <v>0</v>
      </c>
      <c r="F39" s="114"/>
      <c r="G39" s="106">
        <f t="shared" si="0"/>
        <v>0</v>
      </c>
      <c r="H39" s="106">
        <f t="shared" si="1"/>
        <v>0</v>
      </c>
      <c r="I39" s="444"/>
      <c r="J39" s="22"/>
      <c r="K39" s="21"/>
      <c r="L39" s="17"/>
      <c r="M39" s="95"/>
      <c r="P39" s="91"/>
      <c r="Q39" s="91"/>
      <c r="R39" s="91"/>
      <c r="S39" s="91"/>
      <c r="T39" s="91"/>
      <c r="U39" s="91"/>
      <c r="V39" s="91"/>
      <c r="W39" s="91"/>
      <c r="X39" s="92"/>
      <c r="Y39" s="92"/>
      <c r="Z39" s="92"/>
      <c r="AA39" s="92"/>
      <c r="AB39" s="92"/>
      <c r="AC39" s="92"/>
      <c r="AD39" s="94"/>
    </row>
    <row r="40" spans="1:30" ht="24" customHeight="1" x14ac:dyDescent="0.2">
      <c r="A40" s="112" t="s">
        <v>196</v>
      </c>
      <c r="B40" s="116" t="s">
        <v>236</v>
      </c>
      <c r="C40" s="120" t="s">
        <v>237</v>
      </c>
      <c r="D40" s="113" t="s">
        <v>124</v>
      </c>
      <c r="E40" s="108">
        <f>MEM!L38</f>
        <v>46.55</v>
      </c>
      <c r="F40" s="114">
        <v>79.13</v>
      </c>
      <c r="G40" s="106">
        <f t="shared" si="0"/>
        <v>100.08</v>
      </c>
      <c r="H40" s="106">
        <f t="shared" si="1"/>
        <v>4658.72</v>
      </c>
      <c r="I40" s="444"/>
      <c r="J40" s="22"/>
      <c r="K40" s="21"/>
      <c r="L40" s="17"/>
      <c r="M40" s="95"/>
      <c r="P40" s="91"/>
      <c r="Q40" s="91"/>
      <c r="R40" s="91"/>
      <c r="S40" s="91"/>
      <c r="T40" s="91"/>
      <c r="U40" s="91"/>
      <c r="V40" s="91"/>
      <c r="W40" s="91"/>
      <c r="X40" s="92"/>
      <c r="Y40" s="92"/>
      <c r="Z40" s="92"/>
      <c r="AA40" s="92"/>
      <c r="AB40" s="92"/>
      <c r="AC40" s="92"/>
      <c r="AD40" s="94"/>
    </row>
    <row r="41" spans="1:30" ht="24" customHeight="1" x14ac:dyDescent="0.2">
      <c r="A41" s="112" t="s">
        <v>197</v>
      </c>
      <c r="B41" s="116" t="s">
        <v>306</v>
      </c>
      <c r="C41" s="120" t="s">
        <v>307</v>
      </c>
      <c r="D41" s="113" t="s">
        <v>122</v>
      </c>
      <c r="E41" s="108">
        <f>MEM!L39</f>
        <v>33.799999999999997</v>
      </c>
      <c r="F41" s="114">
        <v>90.85</v>
      </c>
      <c r="G41" s="106">
        <f t="shared" ref="G41" si="2">ROUND(F41*($H$6+1),2)</f>
        <v>114.9</v>
      </c>
      <c r="H41" s="106">
        <f t="shared" ref="H41" si="3">ROUND(E41*G41,2)</f>
        <v>3883.62</v>
      </c>
      <c r="I41" s="444"/>
      <c r="J41" s="22"/>
      <c r="K41" s="21"/>
      <c r="L41" s="17"/>
      <c r="M41" s="95"/>
      <c r="P41" s="91"/>
      <c r="Q41" s="91"/>
      <c r="R41" s="91"/>
      <c r="S41" s="91"/>
      <c r="T41" s="91"/>
      <c r="U41" s="91"/>
      <c r="V41" s="91"/>
      <c r="W41" s="91"/>
      <c r="X41" s="92"/>
      <c r="Y41" s="92"/>
      <c r="Z41" s="92"/>
      <c r="AA41" s="92"/>
      <c r="AB41" s="92"/>
      <c r="AC41" s="92"/>
      <c r="AD41" s="94"/>
    </row>
    <row r="42" spans="1:30" ht="24" customHeight="1" x14ac:dyDescent="0.2">
      <c r="A42" s="112" t="s">
        <v>198</v>
      </c>
      <c r="B42" s="116" t="s">
        <v>238</v>
      </c>
      <c r="C42" s="120" t="s">
        <v>239</v>
      </c>
      <c r="D42" s="113" t="s">
        <v>122</v>
      </c>
      <c r="E42" s="108">
        <f>MEM!L40</f>
        <v>417.04</v>
      </c>
      <c r="F42" s="114">
        <v>133.93</v>
      </c>
      <c r="G42" s="106">
        <f t="shared" si="0"/>
        <v>169.38</v>
      </c>
      <c r="H42" s="106">
        <f t="shared" si="1"/>
        <v>70638.240000000005</v>
      </c>
      <c r="I42" s="439">
        <f>ROUND(SUM(H40:H42),2)</f>
        <v>79180.58</v>
      </c>
      <c r="J42" s="22"/>
      <c r="K42" s="21"/>
      <c r="L42" s="17"/>
      <c r="M42" s="95"/>
      <c r="P42" s="91"/>
      <c r="Q42" s="91"/>
      <c r="R42" s="91"/>
      <c r="S42" s="91"/>
      <c r="T42" s="91"/>
      <c r="U42" s="91"/>
      <c r="V42" s="91"/>
      <c r="W42" s="91"/>
      <c r="X42" s="92"/>
      <c r="Y42" s="92"/>
      <c r="Z42" s="92"/>
      <c r="AA42" s="92"/>
      <c r="AB42" s="92"/>
      <c r="AC42" s="92"/>
      <c r="AD42" s="94"/>
    </row>
    <row r="43" spans="1:30" ht="13.9" customHeight="1" x14ac:dyDescent="0.2">
      <c r="A43" s="112" t="s">
        <v>339</v>
      </c>
      <c r="B43" s="116"/>
      <c r="C43" s="120" t="s">
        <v>254</v>
      </c>
      <c r="D43" s="113"/>
      <c r="E43" s="108">
        <f>MEM!L41</f>
        <v>0</v>
      </c>
      <c r="F43" s="114"/>
      <c r="G43" s="106">
        <f t="shared" si="0"/>
        <v>0</v>
      </c>
      <c r="H43" s="106">
        <f t="shared" si="1"/>
        <v>0</v>
      </c>
      <c r="I43" s="441"/>
      <c r="J43" s="22"/>
      <c r="K43" s="21"/>
      <c r="L43" s="17"/>
      <c r="M43" s="95"/>
      <c r="P43" s="91"/>
      <c r="Q43" s="91"/>
      <c r="R43" s="91"/>
      <c r="S43" s="91"/>
      <c r="T43" s="91"/>
      <c r="U43" s="91"/>
      <c r="V43" s="91"/>
      <c r="W43" s="91"/>
      <c r="X43" s="92"/>
      <c r="Y43" s="92"/>
      <c r="Z43" s="92"/>
      <c r="AA43" s="92"/>
      <c r="AB43" s="92"/>
      <c r="AC43" s="92"/>
      <c r="AD43" s="94"/>
    </row>
    <row r="44" spans="1:30" ht="13.9" customHeight="1" x14ac:dyDescent="0.2">
      <c r="A44" s="112" t="s">
        <v>340</v>
      </c>
      <c r="B44" s="113" t="s">
        <v>212</v>
      </c>
      <c r="C44" s="99" t="s">
        <v>213</v>
      </c>
      <c r="D44" s="113" t="s">
        <v>122</v>
      </c>
      <c r="E44" s="108">
        <f>MEM!L42</f>
        <v>10.81</v>
      </c>
      <c r="F44" s="114">
        <v>78.150000000000006</v>
      </c>
      <c r="G44" s="106">
        <f t="shared" si="0"/>
        <v>98.84</v>
      </c>
      <c r="H44" s="106">
        <f t="shared" si="1"/>
        <v>1068.46</v>
      </c>
      <c r="I44" s="445"/>
      <c r="J44" s="22"/>
      <c r="K44" s="21"/>
      <c r="L44" s="17"/>
      <c r="M44" s="95"/>
      <c r="P44" s="91"/>
      <c r="Q44" s="91"/>
      <c r="R44" s="91"/>
      <c r="S44" s="91"/>
      <c r="T44" s="91"/>
      <c r="U44" s="91"/>
      <c r="V44" s="91"/>
      <c r="W44" s="91"/>
      <c r="X44" s="92"/>
      <c r="Y44" s="92"/>
      <c r="Z44" s="92"/>
      <c r="AA44" s="92"/>
      <c r="AB44" s="92"/>
      <c r="AC44" s="92"/>
      <c r="AD44" s="94"/>
    </row>
    <row r="45" spans="1:30" ht="13.9" customHeight="1" x14ac:dyDescent="0.2">
      <c r="A45" s="112" t="s">
        <v>341</v>
      </c>
      <c r="B45" s="113" t="s">
        <v>214</v>
      </c>
      <c r="C45" s="99" t="s">
        <v>215</v>
      </c>
      <c r="D45" s="116" t="s">
        <v>247</v>
      </c>
      <c r="E45" s="108">
        <f>MEM!L43</f>
        <v>32.4</v>
      </c>
      <c r="F45" s="114">
        <v>13.38</v>
      </c>
      <c r="G45" s="106">
        <f t="shared" si="0"/>
        <v>16.920000000000002</v>
      </c>
      <c r="H45" s="106">
        <f t="shared" si="1"/>
        <v>548.21</v>
      </c>
      <c r="I45" s="445"/>
      <c r="J45" s="22"/>
      <c r="K45" s="21"/>
      <c r="L45" s="17"/>
      <c r="M45" s="95"/>
      <c r="P45" s="91"/>
      <c r="Q45" s="91"/>
      <c r="R45" s="91"/>
      <c r="S45" s="91"/>
      <c r="T45" s="91"/>
      <c r="U45" s="91"/>
      <c r="V45" s="91"/>
      <c r="W45" s="91"/>
      <c r="X45" s="92"/>
      <c r="Y45" s="92"/>
      <c r="Z45" s="92"/>
      <c r="AA45" s="92"/>
      <c r="AB45" s="92"/>
      <c r="AC45" s="92"/>
      <c r="AD45" s="94"/>
    </row>
    <row r="46" spans="1:30" ht="13.9" customHeight="1" x14ac:dyDescent="0.2">
      <c r="A46" s="112" t="s">
        <v>342</v>
      </c>
      <c r="B46" s="113" t="s">
        <v>216</v>
      </c>
      <c r="C46" s="99" t="s">
        <v>217</v>
      </c>
      <c r="D46" s="113" t="s">
        <v>121</v>
      </c>
      <c r="E46" s="108">
        <f>MEM!L44</f>
        <v>1.08</v>
      </c>
      <c r="F46" s="114">
        <v>647.83000000000004</v>
      </c>
      <c r="G46" s="106">
        <f t="shared" si="0"/>
        <v>819.31</v>
      </c>
      <c r="H46" s="106">
        <f t="shared" si="1"/>
        <v>884.85</v>
      </c>
      <c r="I46" s="445"/>
      <c r="J46" s="22"/>
      <c r="K46" s="21"/>
      <c r="L46" s="17"/>
      <c r="M46" s="95"/>
      <c r="P46" s="91"/>
      <c r="Q46" s="91"/>
      <c r="R46" s="91"/>
      <c r="S46" s="91"/>
      <c r="T46" s="91"/>
      <c r="U46" s="91"/>
      <c r="V46" s="91"/>
      <c r="W46" s="91"/>
      <c r="X46" s="92"/>
      <c r="Y46" s="92"/>
      <c r="Z46" s="92"/>
      <c r="AA46" s="92"/>
      <c r="AB46" s="92"/>
      <c r="AC46" s="92"/>
      <c r="AD46" s="94"/>
    </row>
    <row r="47" spans="1:30" ht="24" customHeight="1" x14ac:dyDescent="0.2">
      <c r="A47" s="112" t="s">
        <v>343</v>
      </c>
      <c r="B47" s="116" t="s">
        <v>303</v>
      </c>
      <c r="C47" s="120" t="s">
        <v>304</v>
      </c>
      <c r="D47" s="113" t="s">
        <v>124</v>
      </c>
      <c r="E47" s="108">
        <f>MEM!L45</f>
        <v>46.31</v>
      </c>
      <c r="F47" s="114">
        <v>543.84</v>
      </c>
      <c r="G47" s="106">
        <f t="shared" si="0"/>
        <v>687.79</v>
      </c>
      <c r="H47" s="106">
        <f t="shared" si="1"/>
        <v>31851.55</v>
      </c>
      <c r="I47" s="439">
        <f>ROUND(SUM(H44:H47),2)</f>
        <v>34353.07</v>
      </c>
      <c r="J47" s="22"/>
      <c r="K47" s="21"/>
      <c r="L47" s="17"/>
      <c r="M47" s="95"/>
      <c r="P47" s="91"/>
      <c r="Q47" s="91"/>
      <c r="R47" s="91"/>
      <c r="S47" s="91"/>
      <c r="T47" s="91"/>
      <c r="U47" s="91"/>
      <c r="V47" s="91"/>
      <c r="W47" s="91"/>
      <c r="X47" s="92"/>
      <c r="Y47" s="92"/>
      <c r="Z47" s="92"/>
      <c r="AA47" s="92"/>
      <c r="AB47" s="92"/>
      <c r="AC47" s="92"/>
      <c r="AD47" s="94"/>
    </row>
    <row r="48" spans="1:30" ht="13.9" customHeight="1" x14ac:dyDescent="0.2">
      <c r="A48" s="110">
        <v>4</v>
      </c>
      <c r="B48" s="115"/>
      <c r="C48" s="118" t="s">
        <v>268</v>
      </c>
      <c r="D48" s="113"/>
      <c r="E48" s="108">
        <f>MEM!L46</f>
        <v>0</v>
      </c>
      <c r="F48" s="114"/>
      <c r="G48" s="106">
        <f t="shared" si="0"/>
        <v>0</v>
      </c>
      <c r="H48" s="106">
        <f t="shared" si="1"/>
        <v>0</v>
      </c>
      <c r="I48" s="445"/>
      <c r="J48" s="22"/>
      <c r="K48" s="21"/>
      <c r="L48" s="17"/>
      <c r="M48" s="95"/>
      <c r="P48" s="91"/>
      <c r="Q48" s="91"/>
      <c r="R48" s="91"/>
      <c r="S48" s="91"/>
      <c r="T48" s="91"/>
      <c r="U48" s="91"/>
      <c r="V48" s="91"/>
      <c r="W48" s="91"/>
      <c r="X48" s="92"/>
      <c r="Y48" s="92"/>
      <c r="Z48" s="92"/>
      <c r="AA48" s="92"/>
      <c r="AB48" s="92"/>
      <c r="AC48" s="92"/>
      <c r="AD48" s="94"/>
    </row>
    <row r="49" spans="1:30" ht="13.9" customHeight="1" x14ac:dyDescent="0.2">
      <c r="A49" s="112" t="s">
        <v>224</v>
      </c>
      <c r="B49" s="115"/>
      <c r="C49" s="99" t="s">
        <v>222</v>
      </c>
      <c r="D49" s="116"/>
      <c r="E49" s="108">
        <f>MEM!L47</f>
        <v>0</v>
      </c>
      <c r="F49" s="114"/>
      <c r="G49" s="106">
        <f t="shared" si="0"/>
        <v>0</v>
      </c>
      <c r="H49" s="106">
        <f t="shared" si="1"/>
        <v>0</v>
      </c>
      <c r="I49" s="445"/>
      <c r="J49" s="22"/>
      <c r="K49" s="21"/>
      <c r="L49" s="17"/>
      <c r="M49" s="95"/>
      <c r="P49" s="91"/>
      <c r="Q49" s="91"/>
      <c r="R49" s="91"/>
      <c r="S49" s="91"/>
      <c r="T49" s="91"/>
      <c r="U49" s="91"/>
      <c r="V49" s="91"/>
      <c r="W49" s="91"/>
      <c r="X49" s="92"/>
      <c r="Y49" s="92"/>
      <c r="Z49" s="92"/>
      <c r="AA49" s="92"/>
      <c r="AB49" s="92"/>
      <c r="AC49" s="92"/>
      <c r="AD49" s="94"/>
    </row>
    <row r="50" spans="1:30" ht="13.9" customHeight="1" x14ac:dyDescent="0.2">
      <c r="A50" s="112" t="s">
        <v>261</v>
      </c>
      <c r="B50" s="112" t="s">
        <v>126</v>
      </c>
      <c r="C50" s="119" t="s">
        <v>241</v>
      </c>
      <c r="D50" s="113" t="s">
        <v>124</v>
      </c>
      <c r="E50" s="108">
        <f>MEM!L48</f>
        <v>17.600000000000001</v>
      </c>
      <c r="F50" s="114">
        <v>45.36</v>
      </c>
      <c r="G50" s="106">
        <f t="shared" si="0"/>
        <v>57.37</v>
      </c>
      <c r="H50" s="106">
        <f t="shared" si="1"/>
        <v>1009.71</v>
      </c>
      <c r="I50" s="445"/>
      <c r="J50" s="22"/>
      <c r="K50" s="21"/>
      <c r="L50" s="17"/>
      <c r="M50" s="95"/>
      <c r="P50" s="91"/>
      <c r="Q50" s="91"/>
      <c r="R50" s="91"/>
      <c r="S50" s="91"/>
      <c r="T50" s="91"/>
      <c r="U50" s="91"/>
      <c r="V50" s="91"/>
      <c r="W50" s="91"/>
      <c r="X50" s="92"/>
      <c r="Y50" s="92"/>
      <c r="Z50" s="92"/>
      <c r="AA50" s="92"/>
      <c r="AB50" s="92"/>
      <c r="AC50" s="92"/>
      <c r="AD50" s="94"/>
    </row>
    <row r="51" spans="1:30" ht="24" x14ac:dyDescent="0.2">
      <c r="A51" s="112" t="s">
        <v>262</v>
      </c>
      <c r="B51" s="112" t="s">
        <v>255</v>
      </c>
      <c r="C51" s="120" t="s">
        <v>256</v>
      </c>
      <c r="D51" s="113" t="s">
        <v>121</v>
      </c>
      <c r="E51" s="108">
        <f>MEM!L49</f>
        <v>4.5</v>
      </c>
      <c r="F51" s="114">
        <v>175.88</v>
      </c>
      <c r="G51" s="106">
        <f t="shared" si="0"/>
        <v>222.44</v>
      </c>
      <c r="H51" s="106">
        <f t="shared" si="1"/>
        <v>1000.98</v>
      </c>
      <c r="I51" s="445"/>
      <c r="J51" s="22"/>
      <c r="K51" s="21"/>
      <c r="L51" s="17"/>
      <c r="M51" s="95"/>
      <c r="P51" s="91"/>
      <c r="Q51" s="91"/>
      <c r="R51" s="91"/>
      <c r="S51" s="91"/>
      <c r="T51" s="91"/>
      <c r="U51" s="91"/>
      <c r="V51" s="91"/>
      <c r="W51" s="91"/>
      <c r="X51" s="92"/>
      <c r="Y51" s="92"/>
      <c r="Z51" s="92"/>
      <c r="AA51" s="92"/>
      <c r="AB51" s="92"/>
      <c r="AC51" s="92"/>
      <c r="AD51" s="94"/>
    </row>
    <row r="52" spans="1:30" ht="13.9" customHeight="1" x14ac:dyDescent="0.2">
      <c r="A52" s="112" t="s">
        <v>263</v>
      </c>
      <c r="B52" s="113" t="s">
        <v>202</v>
      </c>
      <c r="C52" s="99" t="s">
        <v>204</v>
      </c>
      <c r="D52" s="116" t="s">
        <v>121</v>
      </c>
      <c r="E52" s="108">
        <f>MEM!L50</f>
        <v>4.5</v>
      </c>
      <c r="F52" s="114">
        <v>27.9</v>
      </c>
      <c r="G52" s="106">
        <f t="shared" si="0"/>
        <v>35.29</v>
      </c>
      <c r="H52" s="106">
        <f t="shared" si="1"/>
        <v>158.81</v>
      </c>
      <c r="I52" s="445"/>
      <c r="J52" s="22"/>
      <c r="K52" s="21"/>
      <c r="L52" s="17"/>
      <c r="M52" s="95"/>
      <c r="P52" s="91"/>
      <c r="Q52" s="91"/>
      <c r="R52" s="91"/>
      <c r="S52" s="91"/>
      <c r="T52" s="91"/>
      <c r="U52" s="91"/>
      <c r="V52" s="91"/>
      <c r="W52" s="91"/>
      <c r="X52" s="92"/>
      <c r="Y52" s="92"/>
      <c r="Z52" s="92"/>
      <c r="AA52" s="92"/>
      <c r="AB52" s="92"/>
      <c r="AC52" s="92"/>
      <c r="AD52" s="94"/>
    </row>
    <row r="53" spans="1:30" ht="24" customHeight="1" x14ac:dyDescent="0.2">
      <c r="A53" s="112" t="s">
        <v>264</v>
      </c>
      <c r="B53" s="113" t="s">
        <v>203</v>
      </c>
      <c r="C53" s="99" t="s">
        <v>205</v>
      </c>
      <c r="D53" s="116" t="s">
        <v>127</v>
      </c>
      <c r="E53" s="108">
        <f>MEM!L51</f>
        <v>9</v>
      </c>
      <c r="F53" s="114">
        <v>4.1500000000000004</v>
      </c>
      <c r="G53" s="106">
        <f t="shared" si="0"/>
        <v>5.25</v>
      </c>
      <c r="H53" s="106">
        <f t="shared" si="1"/>
        <v>47.25</v>
      </c>
      <c r="I53" s="439">
        <f>ROUND(SUM(H50:H53),2)</f>
        <v>2216.75</v>
      </c>
      <c r="J53" s="22"/>
      <c r="K53" s="21"/>
      <c r="L53" s="17"/>
      <c r="M53" s="95"/>
      <c r="P53" s="91"/>
      <c r="Q53" s="91"/>
      <c r="R53" s="91"/>
      <c r="S53" s="91"/>
      <c r="T53" s="91"/>
      <c r="U53" s="91"/>
      <c r="V53" s="91"/>
      <c r="W53" s="91"/>
      <c r="X53" s="92"/>
      <c r="Y53" s="92"/>
      <c r="Z53" s="92"/>
      <c r="AA53" s="92"/>
      <c r="AB53" s="92"/>
      <c r="AC53" s="92"/>
      <c r="AD53" s="94"/>
    </row>
    <row r="54" spans="1:30" ht="13.9" customHeight="1" x14ac:dyDescent="0.2">
      <c r="A54" s="112" t="s">
        <v>225</v>
      </c>
      <c r="B54" s="116"/>
      <c r="C54" s="120" t="s">
        <v>220</v>
      </c>
      <c r="D54" s="113"/>
      <c r="E54" s="108">
        <f>MEM!L52</f>
        <v>0</v>
      </c>
      <c r="F54" s="114"/>
      <c r="G54" s="106">
        <f t="shared" si="0"/>
        <v>0</v>
      </c>
      <c r="H54" s="106">
        <f t="shared" si="1"/>
        <v>0</v>
      </c>
      <c r="I54" s="445"/>
      <c r="J54" s="22"/>
      <c r="K54" s="21"/>
      <c r="L54" s="17"/>
      <c r="M54" s="95"/>
      <c r="P54" s="91"/>
      <c r="Q54" s="91"/>
      <c r="R54" s="91"/>
      <c r="S54" s="91"/>
      <c r="T54" s="91"/>
      <c r="U54" s="91"/>
      <c r="V54" s="91"/>
      <c r="W54" s="91"/>
      <c r="X54" s="92"/>
      <c r="Y54" s="92"/>
      <c r="Z54" s="92"/>
      <c r="AA54" s="92"/>
      <c r="AB54" s="92"/>
      <c r="AC54" s="92"/>
      <c r="AD54" s="94"/>
    </row>
    <row r="55" spans="1:30" ht="24" customHeight="1" x14ac:dyDescent="0.2">
      <c r="A55" s="112" t="s">
        <v>314</v>
      </c>
      <c r="B55" s="116" t="s">
        <v>236</v>
      </c>
      <c r="C55" s="120" t="s">
        <v>237</v>
      </c>
      <c r="D55" s="113" t="s">
        <v>124</v>
      </c>
      <c r="E55" s="108">
        <f>MEM!L53</f>
        <v>250.37</v>
      </c>
      <c r="F55" s="114">
        <v>79.13</v>
      </c>
      <c r="G55" s="106">
        <f t="shared" si="0"/>
        <v>100.08</v>
      </c>
      <c r="H55" s="106">
        <f t="shared" si="1"/>
        <v>25057.03</v>
      </c>
      <c r="I55" s="445"/>
      <c r="J55" s="22"/>
      <c r="K55" s="21"/>
      <c r="L55" s="17"/>
      <c r="M55" s="95"/>
      <c r="P55" s="91"/>
      <c r="Q55" s="91"/>
      <c r="R55" s="91"/>
      <c r="S55" s="91"/>
      <c r="T55" s="91"/>
      <c r="U55" s="91"/>
      <c r="V55" s="91"/>
      <c r="W55" s="91"/>
      <c r="X55" s="92"/>
      <c r="Y55" s="92"/>
      <c r="Z55" s="92"/>
      <c r="AA55" s="92"/>
      <c r="AB55" s="92"/>
      <c r="AC55" s="92"/>
      <c r="AD55" s="94"/>
    </row>
    <row r="56" spans="1:30" ht="13.9" customHeight="1" x14ac:dyDescent="0.2">
      <c r="A56" s="112" t="s">
        <v>315</v>
      </c>
      <c r="B56" s="113" t="s">
        <v>129</v>
      </c>
      <c r="C56" s="99" t="s">
        <v>130</v>
      </c>
      <c r="D56" s="116" t="s">
        <v>122</v>
      </c>
      <c r="E56" s="108">
        <f>MEM!L54</f>
        <v>21.12</v>
      </c>
      <c r="F56" s="114">
        <v>71.92</v>
      </c>
      <c r="G56" s="106">
        <f>ROUND(F56*($H$6+1),2)</f>
        <v>90.96</v>
      </c>
      <c r="H56" s="106">
        <f>ROUND(E56*G56,2)</f>
        <v>1921.08</v>
      </c>
      <c r="I56" s="445"/>
      <c r="J56" s="22"/>
      <c r="K56" s="21"/>
      <c r="L56" s="17"/>
      <c r="M56" s="95"/>
      <c r="P56" s="91"/>
      <c r="Q56" s="91"/>
      <c r="R56" s="91"/>
      <c r="S56" s="91"/>
      <c r="T56" s="91"/>
      <c r="U56" s="91"/>
      <c r="V56" s="91"/>
      <c r="W56" s="91"/>
      <c r="X56" s="92"/>
      <c r="Y56" s="92"/>
      <c r="Z56" s="92"/>
      <c r="AA56" s="92"/>
      <c r="AB56" s="92"/>
      <c r="AC56" s="92"/>
      <c r="AD56" s="94"/>
    </row>
    <row r="57" spans="1:30" ht="24" customHeight="1" x14ac:dyDescent="0.2">
      <c r="A57" s="112" t="s">
        <v>316</v>
      </c>
      <c r="B57" s="116" t="s">
        <v>306</v>
      </c>
      <c r="C57" s="120" t="s">
        <v>307</v>
      </c>
      <c r="D57" s="113" t="s">
        <v>122</v>
      </c>
      <c r="E57" s="108">
        <f>MEM!L55</f>
        <v>550.75</v>
      </c>
      <c r="F57" s="114">
        <v>90.85</v>
      </c>
      <c r="G57" s="106">
        <f t="shared" ref="G57" si="4">ROUND(F57*($H$6+1),2)</f>
        <v>114.9</v>
      </c>
      <c r="H57" s="106">
        <f t="shared" ref="H57" si="5">ROUND(E57*G57,2)</f>
        <v>63281.18</v>
      </c>
      <c r="I57" s="445"/>
      <c r="J57" s="22"/>
      <c r="K57" s="21"/>
      <c r="L57" s="17"/>
      <c r="M57" s="95"/>
      <c r="P57" s="91"/>
      <c r="Q57" s="91"/>
      <c r="R57" s="91"/>
      <c r="S57" s="91"/>
      <c r="T57" s="91"/>
      <c r="U57" s="91"/>
      <c r="V57" s="91"/>
      <c r="W57" s="91"/>
      <c r="X57" s="92"/>
      <c r="Y57" s="92"/>
      <c r="Z57" s="92"/>
      <c r="AA57" s="92"/>
      <c r="AB57" s="92"/>
      <c r="AC57" s="92"/>
      <c r="AD57" s="94"/>
    </row>
    <row r="58" spans="1:30" ht="24" customHeight="1" x14ac:dyDescent="0.2">
      <c r="A58" s="112" t="s">
        <v>317</v>
      </c>
      <c r="B58" s="116" t="s">
        <v>238</v>
      </c>
      <c r="C58" s="120" t="s">
        <v>239</v>
      </c>
      <c r="D58" s="113" t="s">
        <v>122</v>
      </c>
      <c r="E58" s="108">
        <f>MEM!L56</f>
        <v>2211.4</v>
      </c>
      <c r="F58" s="114">
        <v>133.93</v>
      </c>
      <c r="G58" s="106">
        <f t="shared" si="0"/>
        <v>169.38</v>
      </c>
      <c r="H58" s="106">
        <f t="shared" si="1"/>
        <v>374566.93</v>
      </c>
      <c r="I58" s="445"/>
      <c r="J58" s="22"/>
      <c r="K58" s="21"/>
      <c r="L58" s="17"/>
      <c r="M58" s="95"/>
      <c r="P58" s="91"/>
      <c r="Q58" s="91"/>
      <c r="R58" s="91"/>
      <c r="S58" s="91"/>
      <c r="T58" s="91"/>
      <c r="U58" s="91"/>
      <c r="V58" s="91"/>
      <c r="W58" s="91"/>
      <c r="X58" s="92"/>
      <c r="Y58" s="92"/>
      <c r="Z58" s="92"/>
      <c r="AA58" s="92"/>
      <c r="AB58" s="92"/>
      <c r="AC58" s="92"/>
      <c r="AD58" s="94"/>
    </row>
    <row r="59" spans="1:30" ht="13.9" customHeight="1" x14ac:dyDescent="0.2">
      <c r="A59" s="112" t="s">
        <v>318</v>
      </c>
      <c r="B59" s="116"/>
      <c r="C59" s="120" t="s">
        <v>246</v>
      </c>
      <c r="D59" s="113"/>
      <c r="E59" s="108">
        <f>MEM!L57</f>
        <v>0</v>
      </c>
      <c r="F59" s="114"/>
      <c r="G59" s="106">
        <f t="shared" si="0"/>
        <v>0</v>
      </c>
      <c r="H59" s="106">
        <f t="shared" si="1"/>
        <v>0</v>
      </c>
      <c r="I59" s="445"/>
      <c r="J59" s="22"/>
      <c r="K59" s="21"/>
      <c r="L59" s="17"/>
      <c r="M59" s="95"/>
      <c r="P59" s="91"/>
      <c r="Q59" s="91"/>
      <c r="R59" s="91"/>
      <c r="S59" s="91"/>
      <c r="T59" s="91"/>
      <c r="U59" s="91"/>
      <c r="V59" s="91"/>
      <c r="W59" s="91"/>
      <c r="X59" s="92"/>
      <c r="Y59" s="92"/>
      <c r="Z59" s="92"/>
      <c r="AA59" s="92"/>
      <c r="AB59" s="92"/>
      <c r="AC59" s="92"/>
      <c r="AD59" s="94"/>
    </row>
    <row r="60" spans="1:30" ht="13.9" customHeight="1" x14ac:dyDescent="0.2">
      <c r="A60" s="112" t="s">
        <v>319</v>
      </c>
      <c r="B60" s="116" t="s">
        <v>218</v>
      </c>
      <c r="C60" s="120" t="s">
        <v>245</v>
      </c>
      <c r="D60" s="113" t="s">
        <v>121</v>
      </c>
      <c r="E60" s="108">
        <f>MEM!L58</f>
        <v>10.08</v>
      </c>
      <c r="F60" s="114">
        <v>80.459999999999994</v>
      </c>
      <c r="G60" s="106">
        <f t="shared" si="0"/>
        <v>101.76</v>
      </c>
      <c r="H60" s="106">
        <f t="shared" si="1"/>
        <v>1025.74</v>
      </c>
      <c r="I60" s="445"/>
      <c r="J60" s="22"/>
      <c r="K60" s="21"/>
      <c r="L60" s="17"/>
      <c r="M60" s="95"/>
      <c r="P60" s="91"/>
      <c r="Q60" s="91"/>
      <c r="R60" s="91"/>
      <c r="S60" s="91"/>
      <c r="T60" s="91"/>
      <c r="U60" s="91"/>
      <c r="V60" s="91"/>
      <c r="W60" s="91"/>
      <c r="X60" s="92"/>
      <c r="Y60" s="92"/>
      <c r="Z60" s="92"/>
      <c r="AA60" s="92"/>
      <c r="AB60" s="92"/>
      <c r="AC60" s="92"/>
      <c r="AD60" s="94"/>
    </row>
    <row r="61" spans="1:30" ht="13.9" customHeight="1" x14ac:dyDescent="0.2">
      <c r="A61" s="112" t="s">
        <v>320</v>
      </c>
      <c r="B61" s="113" t="s">
        <v>212</v>
      </c>
      <c r="C61" s="99" t="s">
        <v>213</v>
      </c>
      <c r="D61" s="113" t="s">
        <v>122</v>
      </c>
      <c r="E61" s="108">
        <f>MEM!L59</f>
        <v>134.44999999999999</v>
      </c>
      <c r="F61" s="114">
        <v>78.150000000000006</v>
      </c>
      <c r="G61" s="106">
        <f t="shared" si="0"/>
        <v>98.84</v>
      </c>
      <c r="H61" s="106">
        <f t="shared" si="1"/>
        <v>13289.04</v>
      </c>
      <c r="I61" s="445"/>
      <c r="J61" s="22"/>
      <c r="K61" s="21"/>
      <c r="L61" s="17"/>
      <c r="M61" s="95"/>
      <c r="P61" s="91"/>
      <c r="Q61" s="91"/>
      <c r="R61" s="91"/>
      <c r="S61" s="91"/>
      <c r="T61" s="91"/>
      <c r="U61" s="91"/>
      <c r="V61" s="91"/>
      <c r="W61" s="91"/>
      <c r="X61" s="92"/>
      <c r="Y61" s="92"/>
      <c r="Z61" s="92"/>
      <c r="AA61" s="92"/>
      <c r="AB61" s="92"/>
      <c r="AC61" s="92"/>
      <c r="AD61" s="94"/>
    </row>
    <row r="62" spans="1:30" ht="13.9" customHeight="1" x14ac:dyDescent="0.2">
      <c r="A62" s="112" t="s">
        <v>321</v>
      </c>
      <c r="B62" s="113" t="s">
        <v>214</v>
      </c>
      <c r="C62" s="99" t="s">
        <v>215</v>
      </c>
      <c r="D62" s="116" t="s">
        <v>247</v>
      </c>
      <c r="E62" s="108">
        <f>MEM!L60</f>
        <v>302.39999999999998</v>
      </c>
      <c r="F62" s="114">
        <v>13.38</v>
      </c>
      <c r="G62" s="106">
        <f t="shared" si="0"/>
        <v>16.920000000000002</v>
      </c>
      <c r="H62" s="106">
        <f t="shared" si="1"/>
        <v>5116.6099999999997</v>
      </c>
      <c r="I62" s="445"/>
      <c r="J62" s="22"/>
      <c r="K62" s="21"/>
      <c r="L62" s="17"/>
      <c r="M62" s="95"/>
      <c r="P62" s="91"/>
      <c r="Q62" s="91"/>
      <c r="R62" s="91"/>
      <c r="S62" s="91"/>
      <c r="T62" s="91"/>
      <c r="U62" s="91"/>
      <c r="V62" s="91"/>
      <c r="W62" s="91"/>
      <c r="X62" s="92"/>
      <c r="Y62" s="92"/>
      <c r="Z62" s="92"/>
      <c r="AA62" s="92"/>
      <c r="AB62" s="92"/>
      <c r="AC62" s="92"/>
      <c r="AD62" s="94"/>
    </row>
    <row r="63" spans="1:30" ht="13.9" customHeight="1" x14ac:dyDescent="0.2">
      <c r="A63" s="112" t="s">
        <v>322</v>
      </c>
      <c r="B63" s="113" t="s">
        <v>216</v>
      </c>
      <c r="C63" s="99" t="s">
        <v>217</v>
      </c>
      <c r="D63" s="113" t="s">
        <v>121</v>
      </c>
      <c r="E63" s="108">
        <f>MEM!L61</f>
        <v>10.08</v>
      </c>
      <c r="F63" s="114">
        <v>647.83000000000004</v>
      </c>
      <c r="G63" s="106">
        <f t="shared" si="0"/>
        <v>819.31</v>
      </c>
      <c r="H63" s="106">
        <f t="shared" si="1"/>
        <v>8258.64</v>
      </c>
      <c r="I63" s="445"/>
      <c r="J63" s="22"/>
      <c r="K63" s="21"/>
      <c r="L63" s="17"/>
      <c r="M63" s="95"/>
      <c r="P63" s="91"/>
      <c r="Q63" s="91"/>
      <c r="R63" s="91"/>
      <c r="S63" s="91"/>
      <c r="T63" s="91"/>
      <c r="U63" s="91"/>
      <c r="V63" s="91"/>
      <c r="W63" s="91"/>
      <c r="X63" s="92"/>
      <c r="Y63" s="92"/>
      <c r="Z63" s="92"/>
      <c r="AA63" s="92"/>
      <c r="AB63" s="92"/>
      <c r="AC63" s="92"/>
      <c r="AD63" s="94"/>
    </row>
    <row r="64" spans="1:30" ht="13.9" customHeight="1" x14ac:dyDescent="0.2">
      <c r="A64" s="112" t="s">
        <v>325</v>
      </c>
      <c r="B64" s="113" t="s">
        <v>36</v>
      </c>
      <c r="C64" s="99" t="s">
        <v>219</v>
      </c>
      <c r="D64" s="116" t="s">
        <v>121</v>
      </c>
      <c r="E64" s="108">
        <f>MEM!L62</f>
        <v>5.04</v>
      </c>
      <c r="F64" s="114">
        <v>50.57</v>
      </c>
      <c r="G64" s="106">
        <f t="shared" si="0"/>
        <v>63.96</v>
      </c>
      <c r="H64" s="106">
        <f t="shared" si="1"/>
        <v>322.36</v>
      </c>
      <c r="I64" s="445"/>
      <c r="J64" s="22"/>
      <c r="K64" s="21"/>
      <c r="L64" s="17"/>
      <c r="M64" s="95"/>
      <c r="P64" s="91"/>
      <c r="Q64" s="91"/>
      <c r="R64" s="91"/>
      <c r="S64" s="91"/>
      <c r="T64" s="91"/>
      <c r="U64" s="91"/>
      <c r="V64" s="91"/>
      <c r="W64" s="91"/>
      <c r="X64" s="92"/>
      <c r="Y64" s="92"/>
      <c r="Z64" s="92"/>
      <c r="AA64" s="92"/>
      <c r="AB64" s="92"/>
      <c r="AC64" s="92"/>
      <c r="AD64" s="94"/>
    </row>
    <row r="65" spans="1:30" ht="24" customHeight="1" x14ac:dyDescent="0.2">
      <c r="A65" s="112" t="s">
        <v>326</v>
      </c>
      <c r="B65" s="113" t="s">
        <v>299</v>
      </c>
      <c r="C65" s="99" t="s">
        <v>300</v>
      </c>
      <c r="D65" s="116" t="s">
        <v>124</v>
      </c>
      <c r="E65" s="108">
        <f>MEM!L63</f>
        <v>224.09</v>
      </c>
      <c r="F65" s="114">
        <v>62.08</v>
      </c>
      <c r="G65" s="106">
        <f t="shared" ref="G65" si="6">ROUND(F65*($H$6+1),2)</f>
        <v>78.510000000000005</v>
      </c>
      <c r="H65" s="106">
        <f t="shared" ref="H65" si="7">ROUND(E65*G65,2)</f>
        <v>17593.310000000001</v>
      </c>
      <c r="I65" s="439">
        <f>ROUND(SUM(H55:H65),2)</f>
        <v>510431.92</v>
      </c>
      <c r="J65" s="22"/>
      <c r="K65" s="21"/>
      <c r="L65" s="17"/>
      <c r="M65" s="95"/>
      <c r="P65" s="91"/>
      <c r="Q65" s="91"/>
      <c r="R65" s="91"/>
      <c r="S65" s="91"/>
      <c r="T65" s="91"/>
      <c r="U65" s="91"/>
      <c r="V65" s="91"/>
      <c r="W65" s="91"/>
      <c r="X65" s="92"/>
      <c r="Y65" s="92"/>
      <c r="Z65" s="92"/>
      <c r="AA65" s="92"/>
      <c r="AB65" s="92"/>
      <c r="AC65" s="92"/>
      <c r="AD65" s="94"/>
    </row>
    <row r="66" spans="1:30" ht="13.9" customHeight="1" x14ac:dyDescent="0.2">
      <c r="A66" s="112" t="s">
        <v>226</v>
      </c>
      <c r="B66" s="113"/>
      <c r="C66" s="99" t="s">
        <v>313</v>
      </c>
      <c r="D66" s="116"/>
      <c r="E66" s="108">
        <f>MEM!L64</f>
        <v>0</v>
      </c>
      <c r="F66" s="114"/>
      <c r="G66" s="106"/>
      <c r="H66" s="106"/>
      <c r="I66" s="445"/>
      <c r="J66" s="22"/>
      <c r="K66" s="21"/>
      <c r="L66" s="17"/>
      <c r="M66" s="95"/>
      <c r="P66" s="91"/>
      <c r="Q66" s="91"/>
      <c r="R66" s="91"/>
      <c r="S66" s="91"/>
      <c r="T66" s="91"/>
      <c r="U66" s="91"/>
      <c r="V66" s="91"/>
      <c r="W66" s="91"/>
      <c r="X66" s="92"/>
      <c r="Y66" s="92"/>
      <c r="Z66" s="92"/>
      <c r="AA66" s="92"/>
      <c r="AB66" s="92"/>
      <c r="AC66" s="92"/>
      <c r="AD66" s="94"/>
    </row>
    <row r="67" spans="1:30" ht="13.9" customHeight="1" x14ac:dyDescent="0.2">
      <c r="A67" s="112" t="s">
        <v>227</v>
      </c>
      <c r="B67" s="116" t="s">
        <v>248</v>
      </c>
      <c r="C67" s="120" t="s">
        <v>249</v>
      </c>
      <c r="D67" s="113" t="s">
        <v>122</v>
      </c>
      <c r="E67" s="108">
        <f>MEM!L65</f>
        <v>254.04</v>
      </c>
      <c r="F67" s="114">
        <v>38.43</v>
      </c>
      <c r="G67" s="106">
        <f t="shared" si="0"/>
        <v>48.6</v>
      </c>
      <c r="H67" s="106">
        <f t="shared" si="1"/>
        <v>12346.34</v>
      </c>
      <c r="I67" s="445"/>
      <c r="J67" s="22"/>
      <c r="K67" s="21"/>
      <c r="L67" s="17"/>
      <c r="M67" s="95"/>
      <c r="P67" s="91"/>
      <c r="Q67" s="91"/>
      <c r="R67" s="91"/>
      <c r="S67" s="91"/>
      <c r="T67" s="91"/>
      <c r="U67" s="91"/>
      <c r="V67" s="91"/>
      <c r="W67" s="91"/>
      <c r="X67" s="92"/>
      <c r="Y67" s="92"/>
      <c r="Z67" s="92"/>
      <c r="AA67" s="92"/>
      <c r="AB67" s="92"/>
      <c r="AC67" s="92"/>
      <c r="AD67" s="94"/>
    </row>
    <row r="68" spans="1:30" ht="13.9" customHeight="1" x14ac:dyDescent="0.2">
      <c r="A68" s="112" t="s">
        <v>228</v>
      </c>
      <c r="B68" s="116" t="s">
        <v>250</v>
      </c>
      <c r="C68" s="120" t="s">
        <v>251</v>
      </c>
      <c r="D68" s="113" t="s">
        <v>13</v>
      </c>
      <c r="E68" s="108">
        <f>MEM!L66</f>
        <v>30</v>
      </c>
      <c r="F68" s="114">
        <v>6.75</v>
      </c>
      <c r="G68" s="106">
        <f t="shared" si="0"/>
        <v>8.5399999999999991</v>
      </c>
      <c r="H68" s="106">
        <f t="shared" si="1"/>
        <v>256.2</v>
      </c>
      <c r="I68" s="445"/>
      <c r="J68" s="22"/>
      <c r="K68" s="21"/>
      <c r="L68" s="17"/>
      <c r="M68" s="95"/>
      <c r="P68" s="91"/>
      <c r="Q68" s="91"/>
      <c r="R68" s="91"/>
      <c r="S68" s="91"/>
      <c r="T68" s="91"/>
      <c r="U68" s="91"/>
      <c r="V68" s="91"/>
      <c r="W68" s="91"/>
      <c r="X68" s="92"/>
      <c r="Y68" s="92"/>
      <c r="Z68" s="92"/>
      <c r="AA68" s="92"/>
      <c r="AB68" s="92"/>
      <c r="AC68" s="92"/>
      <c r="AD68" s="94"/>
    </row>
    <row r="69" spans="1:30" ht="13.9" customHeight="1" x14ac:dyDescent="0.2">
      <c r="A69" s="112" t="s">
        <v>308</v>
      </c>
      <c r="B69" s="116" t="s">
        <v>252</v>
      </c>
      <c r="C69" s="120" t="s">
        <v>253</v>
      </c>
      <c r="D69" s="113" t="s">
        <v>13</v>
      </c>
      <c r="E69" s="108">
        <f>MEM!L67</f>
        <v>30</v>
      </c>
      <c r="F69" s="114">
        <v>12.76</v>
      </c>
      <c r="G69" s="106">
        <f t="shared" si="0"/>
        <v>16.14</v>
      </c>
      <c r="H69" s="106">
        <f t="shared" si="1"/>
        <v>484.2</v>
      </c>
      <c r="I69" s="439">
        <f>ROUND(SUM(H67:H69),2)</f>
        <v>13086.74</v>
      </c>
      <c r="J69" s="22"/>
      <c r="K69" s="21"/>
      <c r="L69" s="17"/>
      <c r="M69" s="95"/>
      <c r="P69" s="91"/>
      <c r="Q69" s="91"/>
      <c r="R69" s="91"/>
      <c r="S69" s="91"/>
      <c r="T69" s="91"/>
      <c r="U69" s="91"/>
      <c r="V69" s="91"/>
      <c r="W69" s="91"/>
      <c r="X69" s="92"/>
      <c r="Y69" s="92"/>
      <c r="Z69" s="92"/>
      <c r="AA69" s="92"/>
      <c r="AB69" s="92"/>
      <c r="AC69" s="92"/>
      <c r="AD69" s="94"/>
    </row>
    <row r="70" spans="1:30" ht="13.9" customHeight="1" x14ac:dyDescent="0.2">
      <c r="A70" s="112" t="s">
        <v>229</v>
      </c>
      <c r="B70" s="113"/>
      <c r="C70" s="99" t="s">
        <v>199</v>
      </c>
      <c r="D70" s="112"/>
      <c r="E70" s="108">
        <f>MEM!L68</f>
        <v>0</v>
      </c>
      <c r="F70" s="114">
        <v>0</v>
      </c>
      <c r="G70" s="106">
        <f t="shared" si="0"/>
        <v>0</v>
      </c>
      <c r="H70" s="106">
        <f t="shared" si="1"/>
        <v>0</v>
      </c>
      <c r="I70" s="446"/>
      <c r="J70" s="22"/>
      <c r="K70" s="21"/>
      <c r="L70" s="17"/>
      <c r="M70" s="22"/>
      <c r="P70" s="21"/>
      <c r="Q70" s="17"/>
      <c r="R70" s="86"/>
    </row>
    <row r="71" spans="1:30" ht="24" customHeight="1" x14ac:dyDescent="0.2">
      <c r="A71" s="112" t="s">
        <v>230</v>
      </c>
      <c r="B71" s="113" t="s">
        <v>243</v>
      </c>
      <c r="C71" s="99" t="s">
        <v>244</v>
      </c>
      <c r="D71" s="112" t="s">
        <v>121</v>
      </c>
      <c r="E71" s="108">
        <f>MEM!L69</f>
        <v>0.43</v>
      </c>
      <c r="F71" s="114">
        <v>231.06</v>
      </c>
      <c r="G71" s="106">
        <f t="shared" si="0"/>
        <v>292.22000000000003</v>
      </c>
      <c r="H71" s="106">
        <f t="shared" si="1"/>
        <v>125.65</v>
      </c>
      <c r="I71" s="446"/>
      <c r="J71" s="22"/>
      <c r="K71" s="21"/>
      <c r="L71" s="17"/>
      <c r="M71" s="22"/>
      <c r="P71" s="21"/>
      <c r="Q71" s="17"/>
      <c r="R71" s="86"/>
    </row>
    <row r="72" spans="1:30" ht="13.9" customHeight="1" x14ac:dyDescent="0.2">
      <c r="A72" s="112" t="s">
        <v>231</v>
      </c>
      <c r="B72" s="113" t="s">
        <v>212</v>
      </c>
      <c r="C72" s="99" t="s">
        <v>213</v>
      </c>
      <c r="D72" s="113" t="s">
        <v>122</v>
      </c>
      <c r="E72" s="108">
        <f>MEM!L70</f>
        <v>1.44</v>
      </c>
      <c r="F72" s="114">
        <v>78.150000000000006</v>
      </c>
      <c r="G72" s="106">
        <f t="shared" ref="G72:G73" si="8">ROUND(F72*($H$6+1),2)</f>
        <v>98.84</v>
      </c>
      <c r="H72" s="106">
        <f t="shared" ref="H72:H73" si="9">ROUND(E72*G72,2)</f>
        <v>142.33000000000001</v>
      </c>
      <c r="I72" s="446"/>
      <c r="J72" s="22"/>
      <c r="K72" s="21"/>
      <c r="L72" s="17"/>
      <c r="M72" s="22"/>
      <c r="P72" s="21"/>
      <c r="Q72" s="17"/>
      <c r="R72" s="86"/>
    </row>
    <row r="73" spans="1:30" ht="13.9" customHeight="1" x14ac:dyDescent="0.2">
      <c r="A73" s="112" t="s">
        <v>232</v>
      </c>
      <c r="B73" s="113" t="s">
        <v>216</v>
      </c>
      <c r="C73" s="99" t="s">
        <v>217</v>
      </c>
      <c r="D73" s="113" t="s">
        <v>121</v>
      </c>
      <c r="E73" s="108">
        <f>MEM!L71</f>
        <v>0.35</v>
      </c>
      <c r="F73" s="114">
        <v>647.83000000000004</v>
      </c>
      <c r="G73" s="106">
        <f t="shared" si="8"/>
        <v>819.31</v>
      </c>
      <c r="H73" s="106">
        <f t="shared" si="9"/>
        <v>286.76</v>
      </c>
      <c r="I73" s="446"/>
      <c r="J73" s="22"/>
      <c r="K73" s="21"/>
      <c r="L73" s="17"/>
      <c r="M73" s="22"/>
      <c r="P73" s="21"/>
      <c r="Q73" s="17"/>
      <c r="R73" s="86"/>
    </row>
    <row r="74" spans="1:30" ht="13.9" customHeight="1" x14ac:dyDescent="0.2">
      <c r="A74" s="112" t="s">
        <v>233</v>
      </c>
      <c r="B74" s="113" t="s">
        <v>265</v>
      </c>
      <c r="C74" s="99" t="s">
        <v>266</v>
      </c>
      <c r="D74" s="116" t="s">
        <v>121</v>
      </c>
      <c r="E74" s="108">
        <f>MEM!L72</f>
        <v>203.72</v>
      </c>
      <c r="F74" s="114">
        <v>11.48</v>
      </c>
      <c r="G74" s="106">
        <f t="shared" si="0"/>
        <v>14.52</v>
      </c>
      <c r="H74" s="106">
        <f t="shared" si="1"/>
        <v>2958.01</v>
      </c>
      <c r="I74" s="446"/>
      <c r="J74" s="22"/>
      <c r="K74" s="21"/>
      <c r="L74" s="17"/>
      <c r="M74" s="22"/>
      <c r="P74" s="531"/>
      <c r="Q74" s="531"/>
      <c r="R74" s="531"/>
      <c r="S74" s="531"/>
      <c r="T74" s="531"/>
      <c r="U74" s="531"/>
      <c r="V74" s="531"/>
      <c r="W74" s="531"/>
      <c r="X74" s="529"/>
      <c r="Y74" s="529"/>
      <c r="Z74" s="530"/>
      <c r="AA74" s="529"/>
      <c r="AB74" s="529"/>
      <c r="AC74" s="529"/>
      <c r="AD74" s="93"/>
    </row>
    <row r="75" spans="1:30" ht="24" customHeight="1" x14ac:dyDescent="0.2">
      <c r="A75" s="112" t="s">
        <v>234</v>
      </c>
      <c r="B75" s="113" t="s">
        <v>203</v>
      </c>
      <c r="C75" s="99" t="s">
        <v>205</v>
      </c>
      <c r="D75" s="116" t="s">
        <v>127</v>
      </c>
      <c r="E75" s="108">
        <f>MEM!L73</f>
        <v>407.44</v>
      </c>
      <c r="F75" s="114">
        <v>4.1500000000000004</v>
      </c>
      <c r="G75" s="106">
        <f t="shared" si="0"/>
        <v>5.25</v>
      </c>
      <c r="H75" s="106">
        <f t="shared" si="1"/>
        <v>2139.06</v>
      </c>
      <c r="I75" s="446"/>
      <c r="J75" s="22"/>
      <c r="K75" s="21"/>
      <c r="L75" s="17"/>
      <c r="M75" s="22"/>
      <c r="P75" s="91"/>
      <c r="Q75" s="91"/>
      <c r="R75" s="91"/>
      <c r="S75" s="91"/>
      <c r="T75" s="91"/>
      <c r="U75" s="91"/>
      <c r="V75" s="91"/>
      <c r="W75" s="91"/>
      <c r="X75" s="92"/>
      <c r="Y75" s="92"/>
      <c r="Z75" s="408"/>
      <c r="AA75" s="92"/>
      <c r="AB75" s="92"/>
      <c r="AC75" s="92"/>
      <c r="AD75" s="93"/>
    </row>
    <row r="76" spans="1:30" ht="13.9" customHeight="1" x14ac:dyDescent="0.2">
      <c r="A76" s="112" t="s">
        <v>235</v>
      </c>
      <c r="B76" s="113" t="s">
        <v>35</v>
      </c>
      <c r="C76" s="99" t="s">
        <v>33</v>
      </c>
      <c r="D76" s="116" t="s">
        <v>122</v>
      </c>
      <c r="E76" s="108">
        <f>MEM!L74</f>
        <v>142.82</v>
      </c>
      <c r="F76" s="114">
        <v>15.26</v>
      </c>
      <c r="G76" s="106">
        <f t="shared" si="0"/>
        <v>19.3</v>
      </c>
      <c r="H76" s="106">
        <f t="shared" si="1"/>
        <v>2756.43</v>
      </c>
      <c r="I76" s="446"/>
      <c r="J76" s="405"/>
      <c r="K76" s="406"/>
      <c r="L76" s="405"/>
      <c r="M76" s="22"/>
      <c r="P76" s="21"/>
      <c r="Q76" s="17"/>
      <c r="R76" s="22"/>
    </row>
    <row r="77" spans="1:30" ht="13.9" customHeight="1" x14ac:dyDescent="0.2">
      <c r="A77" s="112" t="s">
        <v>312</v>
      </c>
      <c r="B77" s="116" t="s">
        <v>359</v>
      </c>
      <c r="C77" s="99" t="s">
        <v>360</v>
      </c>
      <c r="D77" s="116" t="s">
        <v>122</v>
      </c>
      <c r="E77" s="108">
        <f>MEM!L75</f>
        <v>215.6</v>
      </c>
      <c r="F77" s="114">
        <v>116.19</v>
      </c>
      <c r="G77" s="106">
        <f t="shared" ref="G77:G78" si="10">ROUND(F77*($H$6+1),2)</f>
        <v>146.94999999999999</v>
      </c>
      <c r="H77" s="106">
        <f t="shared" ref="H77:H78" si="11">ROUND(E77*G77,2)</f>
        <v>31682.42</v>
      </c>
      <c r="I77" s="446"/>
      <c r="J77" s="405"/>
      <c r="K77" s="406"/>
      <c r="L77" s="405"/>
      <c r="M77" s="22"/>
      <c r="P77" s="21"/>
      <c r="Q77" s="17"/>
      <c r="R77" s="22"/>
    </row>
    <row r="78" spans="1:30" ht="13.9" customHeight="1" x14ac:dyDescent="0.2">
      <c r="A78" s="112" t="s">
        <v>323</v>
      </c>
      <c r="B78" s="116" t="s">
        <v>361</v>
      </c>
      <c r="C78" s="99" t="s">
        <v>362</v>
      </c>
      <c r="D78" s="116" t="s">
        <v>121</v>
      </c>
      <c r="E78" s="108">
        <f>MEM!L76</f>
        <v>33.11</v>
      </c>
      <c r="F78" s="114">
        <v>648.33000000000004</v>
      </c>
      <c r="G78" s="106">
        <f t="shared" si="10"/>
        <v>819.94</v>
      </c>
      <c r="H78" s="106">
        <f t="shared" si="11"/>
        <v>27148.21</v>
      </c>
      <c r="I78" s="446"/>
      <c r="J78" s="405"/>
      <c r="K78" s="406"/>
      <c r="L78" s="405"/>
      <c r="M78" s="22"/>
      <c r="P78" s="21"/>
      <c r="Q78" s="17"/>
      <c r="R78" s="22"/>
    </row>
    <row r="79" spans="1:30" ht="24" customHeight="1" x14ac:dyDescent="0.2">
      <c r="A79" s="112" t="s">
        <v>324</v>
      </c>
      <c r="B79" s="113" t="s">
        <v>356</v>
      </c>
      <c r="C79" s="99" t="s">
        <v>357</v>
      </c>
      <c r="D79" s="116" t="s">
        <v>124</v>
      </c>
      <c r="E79" s="108">
        <f>MEM!L77</f>
        <v>43.77</v>
      </c>
      <c r="F79" s="114">
        <v>198.98</v>
      </c>
      <c r="G79" s="106">
        <f t="shared" ref="G79" si="12">ROUND(F79*($H$6+1),2)</f>
        <v>251.65</v>
      </c>
      <c r="H79" s="106">
        <f t="shared" ref="H79" si="13">ROUND(E79*G79,2)</f>
        <v>11014.72</v>
      </c>
      <c r="I79" s="446"/>
      <c r="J79" s="405"/>
      <c r="K79" s="406"/>
      <c r="L79" s="405"/>
      <c r="M79" s="22"/>
      <c r="P79" s="21"/>
      <c r="Q79" s="17"/>
      <c r="R79" s="22"/>
    </row>
    <row r="80" spans="1:30" ht="24" customHeight="1" x14ac:dyDescent="0.2">
      <c r="A80" s="112" t="s">
        <v>358</v>
      </c>
      <c r="B80" s="113" t="s">
        <v>374</v>
      </c>
      <c r="C80" s="99" t="s">
        <v>375</v>
      </c>
      <c r="D80" s="116" t="s">
        <v>124</v>
      </c>
      <c r="E80" s="108">
        <f>MEM!L78</f>
        <v>77</v>
      </c>
      <c r="F80" s="114">
        <v>413.74</v>
      </c>
      <c r="G80" s="106">
        <f t="shared" si="0"/>
        <v>523.26</v>
      </c>
      <c r="H80" s="106">
        <f t="shared" si="1"/>
        <v>40291.019999999997</v>
      </c>
      <c r="I80" s="446"/>
      <c r="J80" s="405"/>
      <c r="K80" s="406"/>
      <c r="L80" s="405"/>
      <c r="M80" s="22"/>
    </row>
    <row r="81" spans="1:13" ht="13.9" customHeight="1" x14ac:dyDescent="0.2">
      <c r="A81" s="112" t="s">
        <v>363</v>
      </c>
      <c r="B81" s="113" t="s">
        <v>36</v>
      </c>
      <c r="C81" s="99" t="s">
        <v>34</v>
      </c>
      <c r="D81" s="116" t="s">
        <v>121</v>
      </c>
      <c r="E81" s="108">
        <f>MEM!L79</f>
        <v>148.76</v>
      </c>
      <c r="F81" s="114">
        <v>50.57</v>
      </c>
      <c r="G81" s="106">
        <f t="shared" si="0"/>
        <v>63.96</v>
      </c>
      <c r="H81" s="106">
        <f t="shared" si="1"/>
        <v>9514.69</v>
      </c>
      <c r="I81" s="445"/>
      <c r="J81" s="405"/>
      <c r="K81" s="405"/>
      <c r="L81" s="407"/>
      <c r="M81" s="22"/>
    </row>
    <row r="82" spans="1:13" ht="24" customHeight="1" x14ac:dyDescent="0.2">
      <c r="A82" s="112" t="s">
        <v>364</v>
      </c>
      <c r="B82" s="113" t="s">
        <v>366</v>
      </c>
      <c r="C82" s="99" t="s">
        <v>373</v>
      </c>
      <c r="D82" s="116" t="s">
        <v>13</v>
      </c>
      <c r="E82" s="108">
        <f>MEM!L80</f>
        <v>4</v>
      </c>
      <c r="F82" s="114">
        <v>1481.05</v>
      </c>
      <c r="G82" s="106">
        <f t="shared" si="0"/>
        <v>1873.08</v>
      </c>
      <c r="H82" s="106">
        <f t="shared" si="1"/>
        <v>7492.32</v>
      </c>
      <c r="I82" s="445"/>
      <c r="J82" s="405"/>
      <c r="K82" s="405"/>
      <c r="L82" s="407"/>
      <c r="M82" s="22"/>
    </row>
    <row r="83" spans="1:13" ht="24" customHeight="1" x14ac:dyDescent="0.2">
      <c r="A83" s="112" t="s">
        <v>365</v>
      </c>
      <c r="B83" s="96" t="s">
        <v>367</v>
      </c>
      <c r="C83" s="99" t="s">
        <v>368</v>
      </c>
      <c r="D83" s="116" t="s">
        <v>13</v>
      </c>
      <c r="E83" s="108">
        <f>MEM!L81</f>
        <v>8</v>
      </c>
      <c r="F83" s="114">
        <v>1309.1300000000001</v>
      </c>
      <c r="G83" s="106">
        <f t="shared" si="0"/>
        <v>1655.66</v>
      </c>
      <c r="H83" s="106">
        <f t="shared" si="1"/>
        <v>13245.28</v>
      </c>
      <c r="I83" s="439">
        <f>ROUND(SUM(H71:H83),2)</f>
        <v>148796.9</v>
      </c>
      <c r="J83" s="405"/>
      <c r="K83" s="405"/>
      <c r="L83" s="405"/>
    </row>
    <row r="84" spans="1:13" ht="12.75" customHeight="1" x14ac:dyDescent="0.2">
      <c r="A84" s="554" t="s">
        <v>28</v>
      </c>
      <c r="B84" s="555"/>
      <c r="C84" s="555"/>
      <c r="D84" s="555"/>
      <c r="E84" s="555"/>
      <c r="F84" s="555"/>
      <c r="G84" s="556"/>
      <c r="H84" s="100">
        <f>ROUND(SUM(H9:H83),2)</f>
        <v>842254.45</v>
      </c>
      <c r="I84" s="447">
        <f>SUM(I8:I83)</f>
        <v>842254.45000000007</v>
      </c>
      <c r="J84" s="405"/>
      <c r="K84" s="405"/>
      <c r="L84" s="405"/>
    </row>
    <row r="85" spans="1:13" ht="12.75" customHeight="1" x14ac:dyDescent="0.2">
      <c r="A85" s="378"/>
      <c r="B85" s="379"/>
      <c r="C85" s="379"/>
      <c r="D85" s="379"/>
      <c r="E85" s="379"/>
      <c r="F85" s="379"/>
      <c r="G85" s="379"/>
      <c r="H85" s="380"/>
      <c r="I85" s="3"/>
      <c r="J85" s="90"/>
      <c r="K85" s="90"/>
    </row>
    <row r="86" spans="1:13" ht="12.75" customHeight="1" x14ac:dyDescent="0.2">
      <c r="A86" s="378"/>
      <c r="B86" s="379"/>
      <c r="C86" s="379"/>
      <c r="D86" s="379"/>
      <c r="E86" s="379"/>
      <c r="F86" s="379"/>
      <c r="G86" s="379"/>
      <c r="H86" s="380"/>
      <c r="I86" s="3"/>
      <c r="J86" s="90"/>
      <c r="K86" s="90"/>
    </row>
    <row r="87" spans="1:13" ht="12.75" customHeight="1" x14ac:dyDescent="0.2">
      <c r="A87" s="381"/>
      <c r="B87" s="500" t="s">
        <v>12</v>
      </c>
      <c r="C87" s="500"/>
      <c r="D87" s="382"/>
      <c r="E87" s="558" t="s">
        <v>118</v>
      </c>
      <c r="F87" s="558"/>
      <c r="G87" s="383"/>
      <c r="H87" s="384"/>
      <c r="I87" s="3"/>
    </row>
    <row r="88" spans="1:13" ht="12.75" customHeight="1" x14ac:dyDescent="0.2">
      <c r="A88" s="385"/>
      <c r="B88" s="557" t="s">
        <v>7</v>
      </c>
      <c r="C88" s="557"/>
      <c r="D88" s="382"/>
      <c r="E88" s="553" t="s">
        <v>5</v>
      </c>
      <c r="F88" s="553"/>
      <c r="G88" s="2"/>
      <c r="H88" s="386"/>
      <c r="J88" s="2"/>
      <c r="K88" s="2"/>
    </row>
    <row r="89" spans="1:13" ht="12.75" customHeight="1" x14ac:dyDescent="0.2">
      <c r="A89" s="385"/>
      <c r="B89" s="404"/>
      <c r="C89" s="404"/>
      <c r="D89" s="382"/>
      <c r="E89" s="401"/>
      <c r="F89" s="401"/>
      <c r="G89" s="2"/>
      <c r="H89" s="386"/>
      <c r="J89" s="2"/>
      <c r="K89" s="2"/>
    </row>
    <row r="90" spans="1:13" ht="12.6" customHeight="1" x14ac:dyDescent="0.2">
      <c r="A90" s="381"/>
      <c r="B90" s="498"/>
      <c r="C90" s="498"/>
      <c r="D90" s="382"/>
      <c r="E90" s="553"/>
      <c r="F90" s="553"/>
      <c r="G90" s="383"/>
      <c r="H90" s="387"/>
      <c r="I90" s="3"/>
    </row>
    <row r="91" spans="1:13" ht="12.75" customHeight="1" x14ac:dyDescent="0.2">
      <c r="A91" s="388"/>
      <c r="B91" s="552" t="s">
        <v>8</v>
      </c>
      <c r="C91" s="552"/>
      <c r="D91" s="389"/>
      <c r="E91" s="498"/>
      <c r="F91" s="498"/>
      <c r="G91" s="390"/>
      <c r="H91" s="391"/>
      <c r="I91" s="16"/>
      <c r="J91" s="17"/>
    </row>
    <row r="92" spans="1:13" ht="12.75" customHeight="1" x14ac:dyDescent="0.2">
      <c r="H92" s="15"/>
      <c r="I92" s="16"/>
    </row>
    <row r="93" spans="1:13" ht="12.75" customHeight="1" x14ac:dyDescent="0.2">
      <c r="C93" s="29"/>
      <c r="H93" s="15"/>
      <c r="I93" s="16"/>
    </row>
    <row r="94" spans="1:13" ht="12.75" customHeight="1" x14ac:dyDescent="0.2">
      <c r="I94" s="3"/>
    </row>
  </sheetData>
  <mergeCells count="31">
    <mergeCell ref="B91:C91"/>
    <mergeCell ref="E91:F91"/>
    <mergeCell ref="B90:C90"/>
    <mergeCell ref="E90:F90"/>
    <mergeCell ref="A84:G84"/>
    <mergeCell ref="B88:C88"/>
    <mergeCell ref="E88:F88"/>
    <mergeCell ref="E87:F87"/>
    <mergeCell ref="B87:C87"/>
    <mergeCell ref="A1:H1"/>
    <mergeCell ref="P74:T74"/>
    <mergeCell ref="A5:D5"/>
    <mergeCell ref="A4:D4"/>
    <mergeCell ref="E4:F4"/>
    <mergeCell ref="E5:F5"/>
    <mergeCell ref="G4:H4"/>
    <mergeCell ref="A2:G2"/>
    <mergeCell ref="A3:G3"/>
    <mergeCell ref="A6:B6"/>
    <mergeCell ref="E6:F6"/>
    <mergeCell ref="P19:T19"/>
    <mergeCell ref="X74:Y74"/>
    <mergeCell ref="Z74:AC74"/>
    <mergeCell ref="Z19:AC19"/>
    <mergeCell ref="P20:T20"/>
    <mergeCell ref="X19:Y19"/>
    <mergeCell ref="Z20:AC20"/>
    <mergeCell ref="X20:Y20"/>
    <mergeCell ref="U19:W19"/>
    <mergeCell ref="U20:W20"/>
    <mergeCell ref="U74:W74"/>
  </mergeCells>
  <phoneticPr fontId="2" type="noConversion"/>
  <printOptions horizontalCentered="1"/>
  <pageMargins left="0.19685039370078741" right="0.19685039370078741" top="0.19685039370078741" bottom="0.19685039370078741" header="0" footer="0"/>
  <pageSetup paperSize="9" scale="67" orientation="landscape" r:id="rId1"/>
  <headerFooter scaleWithDoc="0" alignWithMargins="0">
    <oddFooter>&amp;C&amp;8Página &amp;P de &amp;N</oddFooter>
  </headerFooter>
  <rowBreaks count="1" manualBreakCount="1">
    <brk id="47" max="7" man="1"/>
  </rowBreaks>
  <ignoredErrors>
    <ignoredError sqref="G14:H14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10DF7-4141-46A3-A676-CF1C93928A6B}">
  <sheetPr codeName="Planilha5"/>
  <dimension ref="A1:M65"/>
  <sheetViews>
    <sheetView showGridLines="0" showZeros="0" view="pageBreakPreview" zoomScaleNormal="75" zoomScaleSheetLayoutView="100" workbookViewId="0">
      <pane ySplit="5" topLeftCell="A48" activePane="bottomLeft" state="frozen"/>
      <selection pane="bottomLeft" activeCell="H8" sqref="H8"/>
    </sheetView>
  </sheetViews>
  <sheetFormatPr defaultColWidth="9.140625" defaultRowHeight="12.75" x14ac:dyDescent="0.2"/>
  <cols>
    <col min="1" max="1" width="10.5703125" style="4" customWidth="1"/>
    <col min="2" max="2" width="10.28515625" style="4" customWidth="1"/>
    <col min="3" max="3" width="40.5703125" style="4" customWidth="1"/>
    <col min="4" max="5" width="14.7109375" style="5" customWidth="1"/>
    <col min="6" max="11" width="14.7109375" style="4" customWidth="1"/>
    <col min="12" max="12" width="11.42578125" style="4" customWidth="1"/>
    <col min="13" max="13" width="11.7109375" style="4" customWidth="1"/>
    <col min="14" max="16384" width="9.140625" style="4"/>
  </cols>
  <sheetData>
    <row r="1" spans="1:13" x14ac:dyDescent="0.2">
      <c r="F1" s="88">
        <f t="shared" ref="F1:K1" si="0">F55</f>
        <v>2.5000000000000001E-2</v>
      </c>
      <c r="G1" s="88">
        <f t="shared" si="0"/>
        <v>0.46289999999999998</v>
      </c>
      <c r="H1" s="88">
        <f t="shared" si="0"/>
        <v>0.5121</v>
      </c>
      <c r="I1" s="88">
        <f t="shared" si="0"/>
        <v>0</v>
      </c>
      <c r="J1" s="88">
        <f t="shared" si="0"/>
        <v>0</v>
      </c>
      <c r="K1" s="88">
        <f t="shared" si="0"/>
        <v>0</v>
      </c>
    </row>
    <row r="2" spans="1:13" ht="54.6" customHeight="1" x14ac:dyDescent="0.2">
      <c r="A2" s="563"/>
      <c r="B2" s="564"/>
      <c r="C2" s="564"/>
      <c r="D2" s="564"/>
      <c r="E2" s="564"/>
      <c r="F2" s="564"/>
      <c r="G2" s="564"/>
      <c r="H2" s="564"/>
      <c r="I2" s="564"/>
      <c r="J2" s="564"/>
      <c r="K2" s="565"/>
    </row>
    <row r="3" spans="1:13" s="6" customFormat="1" ht="14.1" customHeight="1" x14ac:dyDescent="0.2">
      <c r="A3" s="583" t="s">
        <v>15</v>
      </c>
      <c r="B3" s="583"/>
      <c r="C3" s="583"/>
      <c r="D3" s="583"/>
      <c r="E3" s="583"/>
      <c r="F3" s="583"/>
      <c r="G3" s="583"/>
      <c r="H3" s="583"/>
      <c r="I3" s="583"/>
      <c r="J3" s="583"/>
      <c r="K3" s="583"/>
      <c r="L3" s="166"/>
      <c r="M3" s="166"/>
    </row>
    <row r="4" spans="1:13" s="6" customFormat="1" ht="14.1" customHeight="1" x14ac:dyDescent="0.2">
      <c r="A4" s="584" t="s">
        <v>25</v>
      </c>
      <c r="B4" s="585"/>
      <c r="C4" s="586"/>
      <c r="D4" s="210" t="s">
        <v>27</v>
      </c>
      <c r="E4" s="211">
        <f>PLAN!H84</f>
        <v>842254.45</v>
      </c>
      <c r="F4" s="211"/>
      <c r="G4" s="212"/>
      <c r="H4" s="213"/>
      <c r="I4" s="587" t="str">
        <f>PLAN!H3</f>
        <v>DATA: 21/09/26</v>
      </c>
      <c r="J4" s="587"/>
      <c r="K4" s="587"/>
      <c r="L4" s="166"/>
      <c r="M4" s="166"/>
    </row>
    <row r="5" spans="1:13" s="6" customFormat="1" ht="13.9" customHeight="1" x14ac:dyDescent="0.2">
      <c r="A5" s="588" t="str">
        <f>PLAN!A3</f>
        <v>OBRA: SERVIÇOS DE INFRAESTRUTURA</v>
      </c>
      <c r="B5" s="589"/>
      <c r="C5" s="590"/>
      <c r="D5" s="591" t="str">
        <f>PLAN!A4</f>
        <v>LOCAL: ÁREAS PÚBLICAS MUNICIPAIS DE SANTA CRUZ DO ESCALVADO (MG)</v>
      </c>
      <c r="E5" s="591"/>
      <c r="F5" s="591"/>
      <c r="G5" s="591"/>
      <c r="H5" s="591"/>
      <c r="I5" s="345" t="str">
        <f>PLAN!A6</f>
        <v xml:space="preserve">PRAZO EXECUÇÃO:  </v>
      </c>
      <c r="J5" s="346" t="str">
        <f>PLAN!C6</f>
        <v>3 (três) meses</v>
      </c>
      <c r="K5" s="347"/>
      <c r="L5" s="166"/>
      <c r="M5" s="166"/>
    </row>
    <row r="6" spans="1:13" ht="27" customHeight="1" x14ac:dyDescent="0.2">
      <c r="A6" s="154" t="s">
        <v>0</v>
      </c>
      <c r="B6" s="592" t="s">
        <v>16</v>
      </c>
      <c r="C6" s="593"/>
      <c r="D6" s="155" t="s">
        <v>17</v>
      </c>
      <c r="E6" s="155" t="s">
        <v>18</v>
      </c>
      <c r="F6" s="154" t="s">
        <v>37</v>
      </c>
      <c r="G6" s="154" t="s">
        <v>38</v>
      </c>
      <c r="H6" s="154" t="s">
        <v>39</v>
      </c>
      <c r="I6" s="154" t="s">
        <v>40</v>
      </c>
      <c r="J6" s="154" t="s">
        <v>41</v>
      </c>
      <c r="K6" s="154" t="s">
        <v>42</v>
      </c>
      <c r="L6" s="167"/>
      <c r="M6" s="167"/>
    </row>
    <row r="7" spans="1:13" ht="12" customHeight="1" x14ac:dyDescent="0.2">
      <c r="A7" s="566">
        <f>PLAN!A8</f>
        <v>1</v>
      </c>
      <c r="B7" s="570" t="str">
        <f>PLAN!C8</f>
        <v>ADMINISTRAÇÃO LOCAL</v>
      </c>
      <c r="C7" s="571"/>
      <c r="D7" s="156" t="s">
        <v>19</v>
      </c>
      <c r="E7" s="168">
        <f>ROUND((E8/$E$56),4)</f>
        <v>3.3300000000000003E-2</v>
      </c>
      <c r="F7" s="168">
        <v>2.5000000000000001E-2</v>
      </c>
      <c r="G7" s="168">
        <v>0.46289999999999998</v>
      </c>
      <c r="H7" s="168">
        <v>0.5121</v>
      </c>
      <c r="I7" s="169"/>
      <c r="J7" s="168"/>
      <c r="K7" s="168"/>
      <c r="L7" s="170">
        <f t="shared" ref="L7:L54" si="1">SUM(F7:K7)</f>
        <v>1</v>
      </c>
      <c r="M7" s="167"/>
    </row>
    <row r="8" spans="1:13" ht="12" customHeight="1" x14ac:dyDescent="0.2">
      <c r="A8" s="567"/>
      <c r="B8" s="572"/>
      <c r="C8" s="573"/>
      <c r="D8" s="157" t="s">
        <v>20</v>
      </c>
      <c r="E8" s="171">
        <f>PLAN!I11</f>
        <v>28014.54</v>
      </c>
      <c r="F8" s="171">
        <f>ROUND(F7*E8,2)</f>
        <v>700.36</v>
      </c>
      <c r="G8" s="171">
        <f>ROUND(G7*E8,2)</f>
        <v>12967.93</v>
      </c>
      <c r="H8" s="171">
        <f>ROUND(H7*E8,2)</f>
        <v>14346.25</v>
      </c>
      <c r="I8" s="171">
        <f>ROUND(I7*E8,2)</f>
        <v>0</v>
      </c>
      <c r="J8" s="171">
        <f>ROUND(J7*E8,2)</f>
        <v>0</v>
      </c>
      <c r="K8" s="171">
        <f>ROUND(K7*E8,2)</f>
        <v>0</v>
      </c>
      <c r="L8" s="172">
        <f t="shared" si="1"/>
        <v>28014.54</v>
      </c>
      <c r="M8" s="172">
        <f>L8-E8</f>
        <v>0</v>
      </c>
    </row>
    <row r="9" spans="1:13" ht="12" customHeight="1" x14ac:dyDescent="0.2">
      <c r="A9" s="566">
        <f>PLAN!A12</f>
        <v>2</v>
      </c>
      <c r="B9" s="570" t="str">
        <f>PLAN!C12</f>
        <v>SERVIÇOS PRELIMINARES</v>
      </c>
      <c r="C9" s="571"/>
      <c r="D9" s="156" t="s">
        <v>19</v>
      </c>
      <c r="E9" s="168">
        <f>ROUND((E10/$E$56),4)</f>
        <v>5.7999999999999996E-3</v>
      </c>
      <c r="F9" s="168">
        <v>0.6</v>
      </c>
      <c r="G9" s="168"/>
      <c r="H9" s="168">
        <v>0.4</v>
      </c>
      <c r="I9" s="169"/>
      <c r="J9" s="168"/>
      <c r="K9" s="168"/>
      <c r="L9" s="170">
        <f t="shared" si="1"/>
        <v>1</v>
      </c>
      <c r="M9" s="167"/>
    </row>
    <row r="10" spans="1:13" ht="12" customHeight="1" x14ac:dyDescent="0.2">
      <c r="A10" s="567"/>
      <c r="B10" s="572"/>
      <c r="C10" s="573"/>
      <c r="D10" s="157" t="s">
        <v>20</v>
      </c>
      <c r="E10" s="171">
        <f>PLAN!I14</f>
        <v>4852.66</v>
      </c>
      <c r="F10" s="171">
        <f>ROUND(F9*E10,2)</f>
        <v>2911.6</v>
      </c>
      <c r="G10" s="171">
        <f>ROUND(G9*E10,2)</f>
        <v>0</v>
      </c>
      <c r="H10" s="171">
        <f>ROUND(H9*E10,2)</f>
        <v>1941.06</v>
      </c>
      <c r="I10" s="171">
        <f>ROUND(I9*E10,2)</f>
        <v>0</v>
      </c>
      <c r="J10" s="171">
        <f>ROUND(J9*E10,2)</f>
        <v>0</v>
      </c>
      <c r="K10" s="171">
        <f>ROUND(K9*E10,2)</f>
        <v>0</v>
      </c>
      <c r="L10" s="172">
        <f t="shared" si="1"/>
        <v>4852.66</v>
      </c>
      <c r="M10" s="172">
        <f>L10-E10</f>
        <v>0</v>
      </c>
    </row>
    <row r="11" spans="1:13" ht="12" customHeight="1" x14ac:dyDescent="0.2">
      <c r="A11" s="566">
        <f>PLAN!A15</f>
        <v>3</v>
      </c>
      <c r="B11" s="570" t="str">
        <f>PLAN!C15</f>
        <v>ÁREA 01 - RUA SAGRADOS CORAÇÕES</v>
      </c>
      <c r="C11" s="571"/>
      <c r="D11" s="156" t="s">
        <v>19</v>
      </c>
      <c r="E11" s="168">
        <f>ROUND((E12/$E$56),4)</f>
        <v>0</v>
      </c>
      <c r="F11" s="168"/>
      <c r="G11" s="168"/>
      <c r="H11" s="168"/>
      <c r="I11" s="169"/>
      <c r="J11" s="168"/>
      <c r="K11" s="168"/>
      <c r="L11" s="170">
        <f t="shared" si="1"/>
        <v>0</v>
      </c>
      <c r="M11" s="167"/>
    </row>
    <row r="12" spans="1:13" ht="12" customHeight="1" x14ac:dyDescent="0.2">
      <c r="A12" s="567"/>
      <c r="B12" s="572"/>
      <c r="C12" s="573"/>
      <c r="D12" s="157" t="s">
        <v>20</v>
      </c>
      <c r="E12" s="171"/>
      <c r="F12" s="171">
        <f>ROUND(F11*E12,2)</f>
        <v>0</v>
      </c>
      <c r="G12" s="171">
        <f>ROUND(G11*E12,2)</f>
        <v>0</v>
      </c>
      <c r="H12" s="171">
        <f>ROUND(H11*E12,2)</f>
        <v>0</v>
      </c>
      <c r="I12" s="171">
        <f>ROUND(I11*E12,2)</f>
        <v>0</v>
      </c>
      <c r="J12" s="171">
        <f>ROUND(J11*E12,2)</f>
        <v>0</v>
      </c>
      <c r="K12" s="171">
        <f>ROUND(K11*E12,2)</f>
        <v>0</v>
      </c>
      <c r="L12" s="172">
        <f t="shared" si="1"/>
        <v>0</v>
      </c>
      <c r="M12" s="172">
        <f>L12-E12</f>
        <v>0</v>
      </c>
    </row>
    <row r="13" spans="1:13" ht="12" customHeight="1" x14ac:dyDescent="0.2">
      <c r="A13" s="566" t="str">
        <f>PLAN!A16</f>
        <v>3.1</v>
      </c>
      <c r="B13" s="570" t="str">
        <f>PLAN!C16</f>
        <v>DEMOLIÇÕES E REMOÇÕES</v>
      </c>
      <c r="C13" s="571"/>
      <c r="D13" s="156" t="s">
        <v>19</v>
      </c>
      <c r="E13" s="168">
        <f>ROUND((E14/$E$56),4)</f>
        <v>4.1999999999999997E-3</v>
      </c>
      <c r="F13" s="168">
        <v>1</v>
      </c>
      <c r="G13" s="168"/>
      <c r="H13" s="168"/>
      <c r="I13" s="169"/>
      <c r="J13" s="168"/>
      <c r="K13" s="168"/>
      <c r="L13" s="170">
        <f t="shared" si="1"/>
        <v>1</v>
      </c>
      <c r="M13" s="167"/>
    </row>
    <row r="14" spans="1:13" ht="12" customHeight="1" x14ac:dyDescent="0.2">
      <c r="A14" s="567"/>
      <c r="B14" s="572"/>
      <c r="C14" s="573"/>
      <c r="D14" s="157" t="s">
        <v>20</v>
      </c>
      <c r="E14" s="171">
        <f>PLAN!I20</f>
        <v>3570.97</v>
      </c>
      <c r="F14" s="171">
        <f>ROUND(F13*E14,2)</f>
        <v>3570.97</v>
      </c>
      <c r="G14" s="171">
        <f>ROUND(G13*E14,2)</f>
        <v>0</v>
      </c>
      <c r="H14" s="171">
        <f>ROUND(H13*E14,2)</f>
        <v>0</v>
      </c>
      <c r="I14" s="171">
        <f>ROUND(I13*E14,2)</f>
        <v>0</v>
      </c>
      <c r="J14" s="171">
        <f>ROUND(J13*E14,2)</f>
        <v>0</v>
      </c>
      <c r="K14" s="171">
        <f>ROUND(K13*E14,2)</f>
        <v>0</v>
      </c>
      <c r="L14" s="172">
        <f t="shared" si="1"/>
        <v>3570.97</v>
      </c>
      <c r="M14" s="172">
        <f>L14-E14</f>
        <v>0</v>
      </c>
    </row>
    <row r="15" spans="1:13" ht="12" customHeight="1" x14ac:dyDescent="0.2">
      <c r="A15" s="566" t="str">
        <f>PLAN!A21</f>
        <v>3.2</v>
      </c>
      <c r="B15" s="570" t="str">
        <f>PLAN!C21</f>
        <v>EXECUÇÃO DE CANTEIROS</v>
      </c>
      <c r="C15" s="571"/>
      <c r="D15" s="156" t="s">
        <v>19</v>
      </c>
      <c r="E15" s="168">
        <f>ROUND((E16/$E$56),4)</f>
        <v>1.41E-2</v>
      </c>
      <c r="F15" s="168">
        <v>1</v>
      </c>
      <c r="G15" s="168"/>
      <c r="H15" s="168"/>
      <c r="I15" s="169"/>
      <c r="J15" s="168"/>
      <c r="K15" s="168"/>
      <c r="L15" s="170">
        <f t="shared" si="1"/>
        <v>1</v>
      </c>
      <c r="M15" s="167"/>
    </row>
    <row r="16" spans="1:13" ht="12" customHeight="1" x14ac:dyDescent="0.2">
      <c r="A16" s="567"/>
      <c r="B16" s="572"/>
      <c r="C16" s="573"/>
      <c r="D16" s="157" t="s">
        <v>20</v>
      </c>
      <c r="E16" s="171">
        <f>PLAN!I27</f>
        <v>11840.73</v>
      </c>
      <c r="F16" s="171">
        <f>ROUND(F15*E16,2)</f>
        <v>11840.73</v>
      </c>
      <c r="G16" s="171">
        <f>ROUND(G15*E16,2)</f>
        <v>0</v>
      </c>
      <c r="H16" s="171">
        <f>ROUND(H15*E16,2)</f>
        <v>0</v>
      </c>
      <c r="I16" s="171">
        <f>ROUND(I15*E16,2)</f>
        <v>0</v>
      </c>
      <c r="J16" s="171">
        <f>ROUND(J15*E16,2)</f>
        <v>0</v>
      </c>
      <c r="K16" s="171">
        <f>ROUND(K15*E16,2)</f>
        <v>0</v>
      </c>
      <c r="L16" s="172">
        <f t="shared" si="1"/>
        <v>11840.73</v>
      </c>
      <c r="M16" s="172">
        <f>L16-E16</f>
        <v>0</v>
      </c>
    </row>
    <row r="17" spans="1:13" ht="12" customHeight="1" x14ac:dyDescent="0.2">
      <c r="A17" s="566" t="str">
        <f>PLAN!A28</f>
        <v>3.3</v>
      </c>
      <c r="B17" s="570" t="str">
        <f>PLAN!C28</f>
        <v>PAISAGISMO</v>
      </c>
      <c r="C17" s="571"/>
      <c r="D17" s="156" t="s">
        <v>19</v>
      </c>
      <c r="E17" s="168">
        <f>ROUND((E18/$E$56),4)</f>
        <v>4.5999999999999999E-3</v>
      </c>
      <c r="F17" s="168"/>
      <c r="G17" s="168">
        <v>1</v>
      </c>
      <c r="H17" s="168"/>
      <c r="I17" s="169"/>
      <c r="J17" s="168"/>
      <c r="K17" s="168"/>
      <c r="L17" s="170">
        <f t="shared" si="1"/>
        <v>1</v>
      </c>
      <c r="M17" s="167"/>
    </row>
    <row r="18" spans="1:13" ht="12" customHeight="1" x14ac:dyDescent="0.2">
      <c r="A18" s="567"/>
      <c r="B18" s="572"/>
      <c r="C18" s="573"/>
      <c r="D18" s="157" t="s">
        <v>20</v>
      </c>
      <c r="E18" s="171">
        <f>PLAN!I31</f>
        <v>3859.72</v>
      </c>
      <c r="F18" s="171">
        <f>ROUND(F17*E18,2)</f>
        <v>0</v>
      </c>
      <c r="G18" s="171">
        <f>ROUND(G17*E18,2)</f>
        <v>3859.72</v>
      </c>
      <c r="H18" s="171">
        <f>ROUND(H17*E18,2)</f>
        <v>0</v>
      </c>
      <c r="I18" s="171">
        <f>ROUND(I17*E18,2)</f>
        <v>0</v>
      </c>
      <c r="J18" s="171">
        <f>ROUND(J17*E18,2)</f>
        <v>0</v>
      </c>
      <c r="K18" s="171">
        <f>ROUND(K17*E18,2)</f>
        <v>0</v>
      </c>
      <c r="L18" s="172">
        <f t="shared" si="1"/>
        <v>3859.72</v>
      </c>
      <c r="M18" s="172">
        <f>L18-E18</f>
        <v>0</v>
      </c>
    </row>
    <row r="19" spans="1:13" ht="12" customHeight="1" x14ac:dyDescent="0.2">
      <c r="A19" s="566" t="str">
        <f>PLAN!A32</f>
        <v>3.4</v>
      </c>
      <c r="B19" s="570" t="str">
        <f>PLAN!C32</f>
        <v>DRENAGEM PLUVIAL</v>
      </c>
      <c r="C19" s="571"/>
      <c r="D19" s="156" t="s">
        <v>19</v>
      </c>
      <c r="E19" s="168">
        <f>ROUND((E20/$E$56),4)</f>
        <v>2.3999999999999998E-3</v>
      </c>
      <c r="F19" s="168">
        <v>1</v>
      </c>
      <c r="G19" s="168"/>
      <c r="H19" s="168"/>
      <c r="I19" s="169"/>
      <c r="J19" s="168"/>
      <c r="K19" s="168"/>
      <c r="L19" s="170">
        <f t="shared" si="1"/>
        <v>1</v>
      </c>
      <c r="M19" s="167"/>
    </row>
    <row r="20" spans="1:13" ht="12" customHeight="1" x14ac:dyDescent="0.2">
      <c r="A20" s="567"/>
      <c r="B20" s="572"/>
      <c r="C20" s="573"/>
      <c r="D20" s="157" t="s">
        <v>20</v>
      </c>
      <c r="E20" s="171">
        <f>PLAN!I38</f>
        <v>2049.87</v>
      </c>
      <c r="F20" s="171">
        <f>ROUND(F19*E20,2)</f>
        <v>2049.87</v>
      </c>
      <c r="G20" s="171">
        <f>ROUND(G19*E20,2)</f>
        <v>0</v>
      </c>
      <c r="H20" s="171">
        <f>ROUND(H19*E20,2)</f>
        <v>0</v>
      </c>
      <c r="I20" s="171">
        <f>ROUND(I19*E20,2)</f>
        <v>0</v>
      </c>
      <c r="J20" s="171">
        <f>ROUND(J19*E20,2)</f>
        <v>0</v>
      </c>
      <c r="K20" s="171">
        <f>ROUND(K19*E20,2)</f>
        <v>0</v>
      </c>
      <c r="L20" s="172">
        <f t="shared" si="1"/>
        <v>2049.87</v>
      </c>
      <c r="M20" s="172">
        <f>L20-E20</f>
        <v>0</v>
      </c>
    </row>
    <row r="21" spans="1:13" ht="12" customHeight="1" x14ac:dyDescent="0.2">
      <c r="A21" s="568" t="str">
        <f>PLAN!A39</f>
        <v>3.5</v>
      </c>
      <c r="B21" s="570" t="str">
        <f>PLAN!C39</f>
        <v>PAVIMENTAÇÃO</v>
      </c>
      <c r="C21" s="571"/>
      <c r="D21" s="158" t="s">
        <v>19</v>
      </c>
      <c r="E21" s="168">
        <f>ROUND((E22/$E$56),4)</f>
        <v>9.4E-2</v>
      </c>
      <c r="F21" s="168"/>
      <c r="G21" s="168">
        <v>1</v>
      </c>
      <c r="H21" s="168"/>
      <c r="I21" s="169"/>
      <c r="J21" s="168"/>
      <c r="K21" s="168"/>
      <c r="L21" s="170">
        <f t="shared" si="1"/>
        <v>1</v>
      </c>
      <c r="M21" s="167"/>
    </row>
    <row r="22" spans="1:13" ht="12" customHeight="1" x14ac:dyDescent="0.2">
      <c r="A22" s="569"/>
      <c r="B22" s="572"/>
      <c r="C22" s="573"/>
      <c r="D22" s="159" t="s">
        <v>20</v>
      </c>
      <c r="E22" s="171">
        <f>PLAN!I42</f>
        <v>79180.58</v>
      </c>
      <c r="F22" s="171">
        <f>ROUND(F21*E22,2)</f>
        <v>0</v>
      </c>
      <c r="G22" s="171">
        <f>ROUND(G21*E22,2)</f>
        <v>79180.58</v>
      </c>
      <c r="H22" s="171">
        <f>ROUND(H21*E22,2)</f>
        <v>0</v>
      </c>
      <c r="I22" s="171">
        <f>ROUND(I21*E22,2)</f>
        <v>0</v>
      </c>
      <c r="J22" s="171">
        <f>ROUND(J21*E22,2)</f>
        <v>0</v>
      </c>
      <c r="K22" s="171">
        <f>ROUND(K21*E22,2)</f>
        <v>0</v>
      </c>
      <c r="L22" s="172">
        <f t="shared" si="1"/>
        <v>79180.58</v>
      </c>
      <c r="M22" s="172">
        <f>L22-E22</f>
        <v>0</v>
      </c>
    </row>
    <row r="23" spans="1:13" ht="12" customHeight="1" x14ac:dyDescent="0.2">
      <c r="A23" s="566" t="str">
        <f>PLAN!A43</f>
        <v>3.6</v>
      </c>
      <c r="B23" s="570" t="str">
        <f>PLAN!C43</f>
        <v>GUARDA CORPO FIXADO EM CINTA DE CONCRETO ARMADO</v>
      </c>
      <c r="C23" s="571"/>
      <c r="D23" s="156" t="s">
        <v>19</v>
      </c>
      <c r="E23" s="168">
        <f>ROUND((E24/$E$56),4)</f>
        <v>4.0800000000000003E-2</v>
      </c>
      <c r="F23" s="168"/>
      <c r="G23" s="168">
        <v>1</v>
      </c>
      <c r="H23" s="168"/>
      <c r="I23" s="169"/>
      <c r="J23" s="168"/>
      <c r="K23" s="168"/>
      <c r="L23" s="170">
        <f t="shared" si="1"/>
        <v>1</v>
      </c>
      <c r="M23" s="167"/>
    </row>
    <row r="24" spans="1:13" ht="12" customHeight="1" x14ac:dyDescent="0.2">
      <c r="A24" s="567"/>
      <c r="B24" s="572"/>
      <c r="C24" s="573"/>
      <c r="D24" s="157" t="s">
        <v>20</v>
      </c>
      <c r="E24" s="171">
        <f>PLAN!I47</f>
        <v>34353.07</v>
      </c>
      <c r="F24" s="171">
        <f>ROUND(F23*E24,2)</f>
        <v>0</v>
      </c>
      <c r="G24" s="171">
        <f>ROUND(G23*E24,2)</f>
        <v>34353.07</v>
      </c>
      <c r="H24" s="171">
        <f>ROUND(H23*E24,2)</f>
        <v>0</v>
      </c>
      <c r="I24" s="171">
        <f>ROUND(I23*E24,2)</f>
        <v>0</v>
      </c>
      <c r="J24" s="171">
        <f>ROUND(J23*E24,2)</f>
        <v>0</v>
      </c>
      <c r="K24" s="171">
        <f>ROUND(K23*E24,2)</f>
        <v>0</v>
      </c>
      <c r="L24" s="172">
        <f t="shared" si="1"/>
        <v>34353.07</v>
      </c>
      <c r="M24" s="172">
        <f>L24-E24</f>
        <v>0</v>
      </c>
    </row>
    <row r="25" spans="1:13" ht="12" customHeight="1" x14ac:dyDescent="0.2">
      <c r="A25" s="568">
        <f>PLAN!A48</f>
        <v>4</v>
      </c>
      <c r="B25" s="570" t="str">
        <f>PLAN!C48</f>
        <v>ÁREA 02 - RUA OTÁVIO SOARES</v>
      </c>
      <c r="C25" s="571"/>
      <c r="D25" s="158" t="s">
        <v>19</v>
      </c>
      <c r="E25" s="168">
        <f>ROUND((E26/$E$56),4)</f>
        <v>0</v>
      </c>
      <c r="F25" s="168"/>
      <c r="G25" s="168"/>
      <c r="H25" s="168"/>
      <c r="I25" s="169"/>
      <c r="J25" s="168"/>
      <c r="K25" s="168"/>
      <c r="L25" s="170">
        <f t="shared" si="1"/>
        <v>0</v>
      </c>
      <c r="M25" s="167"/>
    </row>
    <row r="26" spans="1:13" ht="12" customHeight="1" x14ac:dyDescent="0.2">
      <c r="A26" s="569"/>
      <c r="B26" s="572"/>
      <c r="C26" s="573"/>
      <c r="D26" s="159" t="s">
        <v>20</v>
      </c>
      <c r="E26" s="171"/>
      <c r="F26" s="171">
        <f>ROUND(F25*E26,2)</f>
        <v>0</v>
      </c>
      <c r="G26" s="171">
        <f>ROUND(G25*E26,2)</f>
        <v>0</v>
      </c>
      <c r="H26" s="171">
        <f>ROUND(H25*E26,2)</f>
        <v>0</v>
      </c>
      <c r="I26" s="171">
        <f>ROUND(I25*E26,2)</f>
        <v>0</v>
      </c>
      <c r="J26" s="171">
        <f>ROUND(J25*E26,2)</f>
        <v>0</v>
      </c>
      <c r="K26" s="171">
        <f>ROUND(K25*E26,2)</f>
        <v>0</v>
      </c>
      <c r="L26" s="172">
        <f t="shared" si="1"/>
        <v>0</v>
      </c>
      <c r="M26" s="172">
        <f>L26-E26</f>
        <v>0</v>
      </c>
    </row>
    <row r="27" spans="1:13" ht="12" customHeight="1" x14ac:dyDescent="0.2">
      <c r="A27" s="566" t="str">
        <f>PLAN!A49</f>
        <v>4.1</v>
      </c>
      <c r="B27" s="570" t="str">
        <f>PLAN!C49</f>
        <v>DEMOLIÇÕES E REMOÇÕES</v>
      </c>
      <c r="C27" s="571"/>
      <c r="D27" s="156" t="s">
        <v>19</v>
      </c>
      <c r="E27" s="168">
        <f>ROUND((E28/$E$56),4)</f>
        <v>2.5999999999999999E-3</v>
      </c>
      <c r="F27" s="168"/>
      <c r="G27" s="168">
        <v>1</v>
      </c>
      <c r="H27" s="168"/>
      <c r="I27" s="169"/>
      <c r="J27" s="168"/>
      <c r="K27" s="168"/>
      <c r="L27" s="170">
        <f t="shared" si="1"/>
        <v>1</v>
      </c>
      <c r="M27" s="167"/>
    </row>
    <row r="28" spans="1:13" ht="12" customHeight="1" x14ac:dyDescent="0.2">
      <c r="A28" s="567"/>
      <c r="B28" s="572"/>
      <c r="C28" s="573"/>
      <c r="D28" s="157" t="s">
        <v>20</v>
      </c>
      <c r="E28" s="171">
        <f>PLAN!I53</f>
        <v>2216.75</v>
      </c>
      <c r="F28" s="171">
        <f>ROUND(F27*E28,2)</f>
        <v>0</v>
      </c>
      <c r="G28" s="171">
        <f>ROUND(G27*E28,2)</f>
        <v>2216.75</v>
      </c>
      <c r="H28" s="171">
        <f>ROUND(H27*E28,2)</f>
        <v>0</v>
      </c>
      <c r="I28" s="171">
        <f>ROUND(I27*E28,2)</f>
        <v>0</v>
      </c>
      <c r="J28" s="171">
        <f>ROUND(J27*E28,2)</f>
        <v>0</v>
      </c>
      <c r="K28" s="171">
        <f>ROUND(K27*E28,2)</f>
        <v>0</v>
      </c>
      <c r="L28" s="172">
        <f t="shared" si="1"/>
        <v>2216.75</v>
      </c>
      <c r="M28" s="172">
        <f>L28-E28</f>
        <v>0</v>
      </c>
    </row>
    <row r="29" spans="1:13" ht="12" customHeight="1" x14ac:dyDescent="0.2">
      <c r="A29" s="566" t="str">
        <f>PLAN!A54</f>
        <v>4.2</v>
      </c>
      <c r="B29" s="570" t="str">
        <f>PLAN!C54</f>
        <v>PAVIMENTAÇÃO</v>
      </c>
      <c r="C29" s="571"/>
      <c r="D29" s="158" t="s">
        <v>19</v>
      </c>
      <c r="E29" s="168">
        <f>ROUND((E30/$E$56),4)</f>
        <v>0.60599999999999998</v>
      </c>
      <c r="F29" s="455"/>
      <c r="G29" s="455">
        <v>0.3</v>
      </c>
      <c r="H29" s="455">
        <v>0.7</v>
      </c>
      <c r="I29" s="456"/>
      <c r="J29" s="455"/>
      <c r="K29" s="455"/>
      <c r="L29" s="170">
        <f t="shared" si="1"/>
        <v>1</v>
      </c>
      <c r="M29" s="167"/>
    </row>
    <row r="30" spans="1:13" ht="12" customHeight="1" x14ac:dyDescent="0.2">
      <c r="A30" s="567"/>
      <c r="B30" s="572"/>
      <c r="C30" s="573"/>
      <c r="D30" s="159" t="s">
        <v>20</v>
      </c>
      <c r="E30" s="171">
        <f>PLAN!I65</f>
        <v>510431.92</v>
      </c>
      <c r="F30" s="171">
        <f>ROUND(F29*E30,2)</f>
        <v>0</v>
      </c>
      <c r="G30" s="171">
        <f>ROUND(G29*E30,2)</f>
        <v>153129.57999999999</v>
      </c>
      <c r="H30" s="171">
        <f>ROUND(H29*E30,2)</f>
        <v>357302.34</v>
      </c>
      <c r="I30" s="171">
        <f>ROUND(I29*E30,2)</f>
        <v>0</v>
      </c>
      <c r="J30" s="171">
        <f>ROUND(J29*E30,2)</f>
        <v>0</v>
      </c>
      <c r="K30" s="171">
        <f>ROUND(K29*E30,2)</f>
        <v>0</v>
      </c>
      <c r="L30" s="172">
        <f t="shared" si="1"/>
        <v>510431.92000000004</v>
      </c>
      <c r="M30" s="172">
        <f>L30-E30</f>
        <v>0</v>
      </c>
    </row>
    <row r="31" spans="1:13" ht="12" customHeight="1" x14ac:dyDescent="0.2">
      <c r="A31" s="566" t="str">
        <f>PLAN!A66</f>
        <v>4.3</v>
      </c>
      <c r="B31" s="570" t="str">
        <f>PLAN!C66</f>
        <v>PAISAGISMO</v>
      </c>
      <c r="C31" s="571"/>
      <c r="D31" s="156" t="s">
        <v>19</v>
      </c>
      <c r="E31" s="168">
        <f>ROUND((E32/$E$56),4)</f>
        <v>1.55E-2</v>
      </c>
      <c r="F31" s="168"/>
      <c r="G31" s="168"/>
      <c r="H31" s="168">
        <v>1</v>
      </c>
      <c r="I31" s="169"/>
      <c r="J31" s="168"/>
      <c r="K31" s="168"/>
      <c r="L31" s="170">
        <f t="shared" si="1"/>
        <v>1</v>
      </c>
      <c r="M31" s="167"/>
    </row>
    <row r="32" spans="1:13" ht="12" customHeight="1" x14ac:dyDescent="0.2">
      <c r="A32" s="567"/>
      <c r="B32" s="572"/>
      <c r="C32" s="573"/>
      <c r="D32" s="157" t="s">
        <v>20</v>
      </c>
      <c r="E32" s="171">
        <f>PLAN!I69</f>
        <v>13086.74</v>
      </c>
      <c r="F32" s="171">
        <f>ROUND(F31*E32,2)</f>
        <v>0</v>
      </c>
      <c r="G32" s="171">
        <f>ROUND(G31*E32,2)</f>
        <v>0</v>
      </c>
      <c r="H32" s="171">
        <f>ROUND(H31*E32,2)</f>
        <v>13086.74</v>
      </c>
      <c r="I32" s="171">
        <f>ROUND(I31*E32,2)</f>
        <v>0</v>
      </c>
      <c r="J32" s="171">
        <f>ROUND(J31*E32,2)</f>
        <v>0</v>
      </c>
      <c r="K32" s="171">
        <f>ROUND(K31*E32,2)</f>
        <v>0</v>
      </c>
      <c r="L32" s="172">
        <f t="shared" si="1"/>
        <v>13086.74</v>
      </c>
      <c r="M32" s="172">
        <f>L32-E32</f>
        <v>0</v>
      </c>
    </row>
    <row r="33" spans="1:13" ht="12" customHeight="1" x14ac:dyDescent="0.2">
      <c r="A33" s="568" t="str">
        <f>PLAN!A70</f>
        <v>4.4</v>
      </c>
      <c r="B33" s="570" t="str">
        <f>PLAN!C70</f>
        <v>DRENAGEM PLUVIAL</v>
      </c>
      <c r="C33" s="571"/>
      <c r="D33" s="158" t="s">
        <v>19</v>
      </c>
      <c r="E33" s="168">
        <f>ROUND((E34/$E$56),4)</f>
        <v>0.1767</v>
      </c>
      <c r="F33" s="455"/>
      <c r="G33" s="455">
        <v>0.7</v>
      </c>
      <c r="H33" s="455">
        <v>0.3</v>
      </c>
      <c r="I33" s="456"/>
      <c r="J33" s="455"/>
      <c r="K33" s="455"/>
      <c r="L33" s="170">
        <f t="shared" si="1"/>
        <v>1</v>
      </c>
      <c r="M33" s="167"/>
    </row>
    <row r="34" spans="1:13" ht="12" customHeight="1" x14ac:dyDescent="0.2">
      <c r="A34" s="569"/>
      <c r="B34" s="572"/>
      <c r="C34" s="573"/>
      <c r="D34" s="159" t="s">
        <v>20</v>
      </c>
      <c r="E34" s="171">
        <f>PLAN!I83</f>
        <v>148796.9</v>
      </c>
      <c r="F34" s="171">
        <f>ROUND(F33*E34,2)</f>
        <v>0</v>
      </c>
      <c r="G34" s="171">
        <f>ROUND(G33*E34,2)</f>
        <v>104157.83</v>
      </c>
      <c r="H34" s="171">
        <f>ROUND(H33*E34,2)</f>
        <v>44639.07</v>
      </c>
      <c r="I34" s="171">
        <f>ROUND(I33*E34,2)</f>
        <v>0</v>
      </c>
      <c r="J34" s="171">
        <f>ROUND(J33*E34,2)</f>
        <v>0</v>
      </c>
      <c r="K34" s="171">
        <f>ROUND(K33*E34,2)</f>
        <v>0</v>
      </c>
      <c r="L34" s="172">
        <f t="shared" si="1"/>
        <v>148796.9</v>
      </c>
      <c r="M34" s="172">
        <f>L34-E34</f>
        <v>0</v>
      </c>
    </row>
    <row r="35" spans="1:13" ht="12" customHeight="1" x14ac:dyDescent="0.2">
      <c r="A35" s="566"/>
      <c r="B35" s="559"/>
      <c r="C35" s="560"/>
      <c r="D35" s="156" t="s">
        <v>19</v>
      </c>
      <c r="E35" s="168">
        <f>ROUND((E36/$E$56),4)</f>
        <v>0</v>
      </c>
      <c r="F35" s="174"/>
      <c r="G35" s="174"/>
      <c r="H35" s="174"/>
      <c r="I35" s="173"/>
      <c r="J35" s="174"/>
      <c r="K35" s="174"/>
      <c r="L35" s="170">
        <f t="shared" si="1"/>
        <v>0</v>
      </c>
      <c r="M35" s="167"/>
    </row>
    <row r="36" spans="1:13" ht="12" customHeight="1" x14ac:dyDescent="0.2">
      <c r="A36" s="567"/>
      <c r="B36" s="561"/>
      <c r="C36" s="562"/>
      <c r="D36" s="157" t="s">
        <v>20</v>
      </c>
      <c r="E36" s="171"/>
      <c r="F36" s="171">
        <f>ROUND(F35*E36,2)</f>
        <v>0</v>
      </c>
      <c r="G36" s="171">
        <f>ROUND(G35*E36,2)</f>
        <v>0</v>
      </c>
      <c r="H36" s="171">
        <f>ROUND(H35*E36,2)</f>
        <v>0</v>
      </c>
      <c r="I36" s="171">
        <f>ROUND(I35*E36,2)</f>
        <v>0</v>
      </c>
      <c r="J36" s="171">
        <f>ROUND(J35*E36,2)</f>
        <v>0</v>
      </c>
      <c r="K36" s="171">
        <f>ROUND(K35*E36,2)</f>
        <v>0</v>
      </c>
      <c r="L36" s="172">
        <f t="shared" si="1"/>
        <v>0</v>
      </c>
      <c r="M36" s="172">
        <f>L36-E36</f>
        <v>0</v>
      </c>
    </row>
    <row r="37" spans="1:13" ht="12" customHeight="1" x14ac:dyDescent="0.2">
      <c r="A37" s="568"/>
      <c r="B37" s="559"/>
      <c r="C37" s="560"/>
      <c r="D37" s="158" t="s">
        <v>19</v>
      </c>
      <c r="E37" s="168">
        <f>ROUND((E38/$E$56),4)</f>
        <v>0</v>
      </c>
      <c r="F37" s="175"/>
      <c r="G37" s="175"/>
      <c r="H37" s="175"/>
      <c r="I37" s="176"/>
      <c r="J37" s="175"/>
      <c r="K37" s="175"/>
      <c r="L37" s="170">
        <f t="shared" si="1"/>
        <v>0</v>
      </c>
      <c r="M37" s="167"/>
    </row>
    <row r="38" spans="1:13" ht="12" customHeight="1" x14ac:dyDescent="0.2">
      <c r="A38" s="569"/>
      <c r="B38" s="561"/>
      <c r="C38" s="562"/>
      <c r="D38" s="159" t="s">
        <v>20</v>
      </c>
      <c r="E38" s="171"/>
      <c r="F38" s="171">
        <f>ROUND(F37*E38,2)</f>
        <v>0</v>
      </c>
      <c r="G38" s="171">
        <f>ROUND(G37*E38,2)</f>
        <v>0</v>
      </c>
      <c r="H38" s="171">
        <f>ROUND(H37*E38,2)</f>
        <v>0</v>
      </c>
      <c r="I38" s="171">
        <f>ROUND(I37*E38,2)</f>
        <v>0</v>
      </c>
      <c r="J38" s="171">
        <f>ROUND(J37*E38,2)</f>
        <v>0</v>
      </c>
      <c r="K38" s="171">
        <f>ROUND(K37*E38,2)</f>
        <v>0</v>
      </c>
      <c r="L38" s="172">
        <f t="shared" si="1"/>
        <v>0</v>
      </c>
      <c r="M38" s="172">
        <f>L38-E38</f>
        <v>0</v>
      </c>
    </row>
    <row r="39" spans="1:13" ht="12" customHeight="1" x14ac:dyDescent="0.2">
      <c r="A39" s="566"/>
      <c r="B39" s="559"/>
      <c r="C39" s="560"/>
      <c r="D39" s="156" t="s">
        <v>19</v>
      </c>
      <c r="E39" s="168">
        <f>ROUND((E40/$E$56),4)</f>
        <v>0</v>
      </c>
      <c r="F39" s="174"/>
      <c r="G39" s="174"/>
      <c r="H39" s="174"/>
      <c r="I39" s="173"/>
      <c r="J39" s="174"/>
      <c r="K39" s="174"/>
      <c r="L39" s="170">
        <f t="shared" si="1"/>
        <v>0</v>
      </c>
      <c r="M39" s="167"/>
    </row>
    <row r="40" spans="1:13" ht="12" customHeight="1" x14ac:dyDescent="0.2">
      <c r="A40" s="567"/>
      <c r="B40" s="561"/>
      <c r="C40" s="562"/>
      <c r="D40" s="157" t="s">
        <v>20</v>
      </c>
      <c r="E40" s="171"/>
      <c r="F40" s="171">
        <f>ROUND(F39*E40,2)</f>
        <v>0</v>
      </c>
      <c r="G40" s="171">
        <f>ROUND(G39*E40,2)</f>
        <v>0</v>
      </c>
      <c r="H40" s="171">
        <f>ROUND(H39*E40,2)</f>
        <v>0</v>
      </c>
      <c r="I40" s="171">
        <f>ROUND(I39*E40,2)</f>
        <v>0</v>
      </c>
      <c r="J40" s="171">
        <f>ROUND(J39*E40,2)</f>
        <v>0</v>
      </c>
      <c r="K40" s="171">
        <f>ROUND(K39*E40,2)</f>
        <v>0</v>
      </c>
      <c r="L40" s="172">
        <f t="shared" si="1"/>
        <v>0</v>
      </c>
      <c r="M40" s="172">
        <f>L40-E40</f>
        <v>0</v>
      </c>
    </row>
    <row r="41" spans="1:13" ht="12" customHeight="1" x14ac:dyDescent="0.2">
      <c r="A41" s="568"/>
      <c r="B41" s="559"/>
      <c r="C41" s="560"/>
      <c r="D41" s="158" t="s">
        <v>19</v>
      </c>
      <c r="E41" s="168">
        <f>ROUND((E42/$E$56),4)</f>
        <v>0</v>
      </c>
      <c r="F41" s="174"/>
      <c r="G41" s="174"/>
      <c r="H41" s="174"/>
      <c r="I41" s="173"/>
      <c r="J41" s="174"/>
      <c r="K41" s="174"/>
      <c r="L41" s="170">
        <f t="shared" si="1"/>
        <v>0</v>
      </c>
      <c r="M41" s="167"/>
    </row>
    <row r="42" spans="1:13" ht="12" customHeight="1" x14ac:dyDescent="0.2">
      <c r="A42" s="569"/>
      <c r="B42" s="561"/>
      <c r="C42" s="562"/>
      <c r="D42" s="159" t="s">
        <v>20</v>
      </c>
      <c r="E42" s="171"/>
      <c r="F42" s="171">
        <f>ROUND(F41*E42,2)</f>
        <v>0</v>
      </c>
      <c r="G42" s="171">
        <f>ROUND(G41*E42,2)</f>
        <v>0</v>
      </c>
      <c r="H42" s="171">
        <f>ROUND(H41*E42,2)</f>
        <v>0</v>
      </c>
      <c r="I42" s="171">
        <f>ROUND(I41*E42,2)</f>
        <v>0</v>
      </c>
      <c r="J42" s="171">
        <f>ROUND(J41*E42,2)</f>
        <v>0</v>
      </c>
      <c r="K42" s="171">
        <f>ROUND(K41*E42,2)</f>
        <v>0</v>
      </c>
      <c r="L42" s="172">
        <f t="shared" si="1"/>
        <v>0</v>
      </c>
      <c r="M42" s="172">
        <f>L42-E42</f>
        <v>0</v>
      </c>
    </row>
    <row r="43" spans="1:13" ht="12" customHeight="1" x14ac:dyDescent="0.2">
      <c r="A43" s="566"/>
      <c r="B43" s="559"/>
      <c r="C43" s="560"/>
      <c r="D43" s="156" t="s">
        <v>19</v>
      </c>
      <c r="E43" s="168">
        <f>ROUND((E44/$E$56),4)</f>
        <v>0</v>
      </c>
      <c r="F43" s="174"/>
      <c r="G43" s="174"/>
      <c r="H43" s="174"/>
      <c r="I43" s="173"/>
      <c r="J43" s="174"/>
      <c r="K43" s="174"/>
      <c r="L43" s="170">
        <f t="shared" si="1"/>
        <v>0</v>
      </c>
      <c r="M43" s="167"/>
    </row>
    <row r="44" spans="1:13" ht="12" customHeight="1" x14ac:dyDescent="0.2">
      <c r="A44" s="567"/>
      <c r="B44" s="561"/>
      <c r="C44" s="562"/>
      <c r="D44" s="157" t="s">
        <v>20</v>
      </c>
      <c r="E44" s="171"/>
      <c r="F44" s="171">
        <f>ROUND(F43*E44,2)</f>
        <v>0</v>
      </c>
      <c r="G44" s="171">
        <f>ROUND(G43*E44,2)</f>
        <v>0</v>
      </c>
      <c r="H44" s="171">
        <f>ROUND(H43*E44,2)</f>
        <v>0</v>
      </c>
      <c r="I44" s="171">
        <f>ROUND(I43*E44,2)</f>
        <v>0</v>
      </c>
      <c r="J44" s="171">
        <f>ROUND(J43*E44,2)</f>
        <v>0</v>
      </c>
      <c r="K44" s="171">
        <f>ROUND(K43*E44,2)</f>
        <v>0</v>
      </c>
      <c r="L44" s="172">
        <f t="shared" si="1"/>
        <v>0</v>
      </c>
      <c r="M44" s="172">
        <f>L44-E44</f>
        <v>0</v>
      </c>
    </row>
    <row r="45" spans="1:13" ht="12" customHeight="1" x14ac:dyDescent="0.2">
      <c r="A45" s="566"/>
      <c r="B45" s="559"/>
      <c r="C45" s="560"/>
      <c r="D45" s="156" t="s">
        <v>19</v>
      </c>
      <c r="E45" s="168">
        <f>ROUND((E46/$E$56),4)</f>
        <v>0</v>
      </c>
      <c r="F45" s="174"/>
      <c r="G45" s="174"/>
      <c r="H45" s="174"/>
      <c r="I45" s="173"/>
      <c r="J45" s="174"/>
      <c r="K45" s="174"/>
      <c r="L45" s="170">
        <f t="shared" si="1"/>
        <v>0</v>
      </c>
      <c r="M45" s="167"/>
    </row>
    <row r="46" spans="1:13" ht="12" customHeight="1" x14ac:dyDescent="0.2">
      <c r="A46" s="567"/>
      <c r="B46" s="561"/>
      <c r="C46" s="562"/>
      <c r="D46" s="157" t="s">
        <v>20</v>
      </c>
      <c r="E46" s="171"/>
      <c r="F46" s="171">
        <f>ROUND(F45*E46,2)</f>
        <v>0</v>
      </c>
      <c r="G46" s="171">
        <f>ROUND(G45*E46,2)</f>
        <v>0</v>
      </c>
      <c r="H46" s="171">
        <f>ROUND(H45*E46,2)</f>
        <v>0</v>
      </c>
      <c r="I46" s="171">
        <f>ROUND(I45*E46,2)</f>
        <v>0</v>
      </c>
      <c r="J46" s="171">
        <f>ROUND(J45*E46,2)</f>
        <v>0</v>
      </c>
      <c r="K46" s="171">
        <f>ROUND(K45*E46,2)</f>
        <v>0</v>
      </c>
      <c r="L46" s="172">
        <f t="shared" si="1"/>
        <v>0</v>
      </c>
      <c r="M46" s="172">
        <f>L46-E46</f>
        <v>0</v>
      </c>
    </row>
    <row r="47" spans="1:13" ht="12" customHeight="1" x14ac:dyDescent="0.2">
      <c r="A47" s="566"/>
      <c r="B47" s="559"/>
      <c r="C47" s="560"/>
      <c r="D47" s="156" t="s">
        <v>19</v>
      </c>
      <c r="E47" s="168">
        <f>ROUND((E48/$E$56),4)</f>
        <v>0</v>
      </c>
      <c r="F47" s="174"/>
      <c r="G47" s="174"/>
      <c r="H47" s="174"/>
      <c r="I47" s="173"/>
      <c r="J47" s="174"/>
      <c r="K47" s="174"/>
      <c r="L47" s="170">
        <f t="shared" si="1"/>
        <v>0</v>
      </c>
      <c r="M47" s="167"/>
    </row>
    <row r="48" spans="1:13" ht="12" customHeight="1" x14ac:dyDescent="0.2">
      <c r="A48" s="567"/>
      <c r="B48" s="561"/>
      <c r="C48" s="562"/>
      <c r="D48" s="157" t="s">
        <v>20</v>
      </c>
      <c r="E48" s="171"/>
      <c r="F48" s="171">
        <f>ROUND(F47*E48,2)</f>
        <v>0</v>
      </c>
      <c r="G48" s="171">
        <f>ROUND(G47*E48,2)</f>
        <v>0</v>
      </c>
      <c r="H48" s="171">
        <f>ROUND(H47*E48,2)</f>
        <v>0</v>
      </c>
      <c r="I48" s="171">
        <f>ROUND(I47*E48,2)</f>
        <v>0</v>
      </c>
      <c r="J48" s="171">
        <f>ROUND(J47*E48,2)</f>
        <v>0</v>
      </c>
      <c r="K48" s="171">
        <f>ROUND(K47*E48,2)</f>
        <v>0</v>
      </c>
      <c r="L48" s="172">
        <f t="shared" si="1"/>
        <v>0</v>
      </c>
      <c r="M48" s="172">
        <f>L48-E48</f>
        <v>0</v>
      </c>
    </row>
    <row r="49" spans="1:13" ht="12" customHeight="1" x14ac:dyDescent="0.2">
      <c r="A49" s="566"/>
      <c r="B49" s="559"/>
      <c r="C49" s="560"/>
      <c r="D49" s="156" t="s">
        <v>19</v>
      </c>
      <c r="E49" s="168">
        <f>ROUND((E50/$E$56),4)</f>
        <v>0</v>
      </c>
      <c r="F49" s="174"/>
      <c r="G49" s="174"/>
      <c r="H49" s="174"/>
      <c r="I49" s="173"/>
      <c r="J49" s="174"/>
      <c r="K49" s="174"/>
      <c r="L49" s="170">
        <f t="shared" si="1"/>
        <v>0</v>
      </c>
      <c r="M49" s="167"/>
    </row>
    <row r="50" spans="1:13" ht="12" customHeight="1" x14ac:dyDescent="0.2">
      <c r="A50" s="567"/>
      <c r="B50" s="561"/>
      <c r="C50" s="562"/>
      <c r="D50" s="157" t="s">
        <v>20</v>
      </c>
      <c r="E50" s="171"/>
      <c r="F50" s="171">
        <f>ROUND(F49*E50,2)</f>
        <v>0</v>
      </c>
      <c r="G50" s="171">
        <f>ROUND(G49*E50,2)</f>
        <v>0</v>
      </c>
      <c r="H50" s="171">
        <f>ROUND(H49*E50,2)</f>
        <v>0</v>
      </c>
      <c r="I50" s="171">
        <f>ROUND(I49*E50,2)</f>
        <v>0</v>
      </c>
      <c r="J50" s="171">
        <f>ROUND(J49*E50,2)</f>
        <v>0</v>
      </c>
      <c r="K50" s="171">
        <f>ROUND(K49*E50,2)</f>
        <v>0</v>
      </c>
      <c r="L50" s="172">
        <f t="shared" si="1"/>
        <v>0</v>
      </c>
      <c r="M50" s="172">
        <f>L50-E50</f>
        <v>0</v>
      </c>
    </row>
    <row r="51" spans="1:13" ht="12" customHeight="1" x14ac:dyDescent="0.2">
      <c r="A51" s="566"/>
      <c r="B51" s="559"/>
      <c r="C51" s="560"/>
      <c r="D51" s="156" t="s">
        <v>19</v>
      </c>
      <c r="E51" s="168">
        <f>ROUND((E52/$E$56),4)</f>
        <v>0</v>
      </c>
      <c r="F51" s="174"/>
      <c r="G51" s="174"/>
      <c r="H51" s="174"/>
      <c r="I51" s="173"/>
      <c r="J51" s="174"/>
      <c r="K51" s="174"/>
      <c r="L51" s="170">
        <f t="shared" si="1"/>
        <v>0</v>
      </c>
      <c r="M51" s="167"/>
    </row>
    <row r="52" spans="1:13" ht="12" customHeight="1" x14ac:dyDescent="0.2">
      <c r="A52" s="567"/>
      <c r="B52" s="561"/>
      <c r="C52" s="562"/>
      <c r="D52" s="157" t="s">
        <v>20</v>
      </c>
      <c r="E52" s="171"/>
      <c r="F52" s="171">
        <f>ROUND(F51*E52,2)</f>
        <v>0</v>
      </c>
      <c r="G52" s="171">
        <f>ROUND(G51*E52,2)</f>
        <v>0</v>
      </c>
      <c r="H52" s="171">
        <f>ROUND(H51*E52,2)</f>
        <v>0</v>
      </c>
      <c r="I52" s="171">
        <f>ROUND(I51*E52,2)</f>
        <v>0</v>
      </c>
      <c r="J52" s="171">
        <f>ROUND(J51*E52,2)</f>
        <v>0</v>
      </c>
      <c r="K52" s="171">
        <f>ROUND(K51*E52,2)</f>
        <v>0</v>
      </c>
      <c r="L52" s="172">
        <f t="shared" si="1"/>
        <v>0</v>
      </c>
      <c r="M52" s="172">
        <f>L52-E52</f>
        <v>0</v>
      </c>
    </row>
    <row r="53" spans="1:13" ht="12" customHeight="1" x14ac:dyDescent="0.2">
      <c r="A53" s="566"/>
      <c r="B53" s="559"/>
      <c r="C53" s="560"/>
      <c r="D53" s="156" t="s">
        <v>19</v>
      </c>
      <c r="E53" s="168">
        <f>ROUND((E54/$E$56),4)</f>
        <v>0</v>
      </c>
      <c r="F53" s="174"/>
      <c r="G53" s="174"/>
      <c r="H53" s="174"/>
      <c r="I53" s="173"/>
      <c r="J53" s="174"/>
      <c r="K53" s="174"/>
      <c r="L53" s="170">
        <f t="shared" si="1"/>
        <v>0</v>
      </c>
      <c r="M53" s="167"/>
    </row>
    <row r="54" spans="1:13" ht="12" customHeight="1" x14ac:dyDescent="0.2">
      <c r="A54" s="567"/>
      <c r="B54" s="561"/>
      <c r="C54" s="562"/>
      <c r="D54" s="157" t="s">
        <v>20</v>
      </c>
      <c r="E54" s="171"/>
      <c r="F54" s="171">
        <f>ROUND(F53*E54,2)</f>
        <v>0</v>
      </c>
      <c r="G54" s="171">
        <f>ROUND(G53*E54,2)</f>
        <v>0</v>
      </c>
      <c r="H54" s="171">
        <f>ROUND(H53*E54,2)</f>
        <v>0</v>
      </c>
      <c r="I54" s="171">
        <f>ROUND(I53*E54,2)</f>
        <v>0</v>
      </c>
      <c r="J54" s="171">
        <f>ROUND(J53*E54,2)</f>
        <v>0</v>
      </c>
      <c r="K54" s="171">
        <f>ROUND(K53*E54,2)</f>
        <v>0</v>
      </c>
      <c r="L54" s="172">
        <f t="shared" si="1"/>
        <v>0</v>
      </c>
      <c r="M54" s="172">
        <f>L54-E54</f>
        <v>0</v>
      </c>
    </row>
    <row r="55" spans="1:13" ht="12" customHeight="1" x14ac:dyDescent="0.2">
      <c r="A55" s="577" t="s">
        <v>21</v>
      </c>
      <c r="B55" s="578"/>
      <c r="C55" s="579"/>
      <c r="D55" s="160" t="s">
        <v>19</v>
      </c>
      <c r="E55" s="168">
        <f>E7+E9+E11+E13+E15+E17+E19+E21+E23+E25+E27+E29+E31+E33+E35+E37+E39+E41+E43+E45+E47+E49+E51+E53</f>
        <v>0.99999999999999989</v>
      </c>
      <c r="F55" s="168">
        <f t="shared" ref="F55:K55" si="2">ROUND(F56/$E$56,4)</f>
        <v>2.5000000000000001E-2</v>
      </c>
      <c r="G55" s="168">
        <f t="shared" si="2"/>
        <v>0.46289999999999998</v>
      </c>
      <c r="H55" s="168">
        <f t="shared" si="2"/>
        <v>0.5121</v>
      </c>
      <c r="I55" s="168">
        <f t="shared" si="2"/>
        <v>0</v>
      </c>
      <c r="J55" s="168">
        <f t="shared" si="2"/>
        <v>0</v>
      </c>
      <c r="K55" s="168">
        <f t="shared" si="2"/>
        <v>0</v>
      </c>
      <c r="L55" s="177">
        <f>F55+G55+H55+I55+J55+K55</f>
        <v>1</v>
      </c>
      <c r="M55" s="167"/>
    </row>
    <row r="56" spans="1:13" ht="12" customHeight="1" x14ac:dyDescent="0.2">
      <c r="A56" s="580"/>
      <c r="B56" s="581"/>
      <c r="C56" s="582"/>
      <c r="D56" s="161" t="s">
        <v>20</v>
      </c>
      <c r="E56" s="178">
        <f>E8+E10+E12+E14+E16+E18+E20+E22+E24+E26+E28+E30+E32+E34+E36+E38+E40+E42+E44+E46+E48+E50+E52+E54</f>
        <v>842254.45000000007</v>
      </c>
      <c r="F56" s="178">
        <f t="shared" ref="F56:K56" si="3">F8+F10+F12+F14+F16+F18+F20+F22+F24+F26+F28+F30+F32+F34+F36+F38+F40+F42+F44+F46+F48+F50+F52+F54</f>
        <v>21073.53</v>
      </c>
      <c r="G56" s="178">
        <f t="shared" si="3"/>
        <v>389865.46</v>
      </c>
      <c r="H56" s="178">
        <f t="shared" si="3"/>
        <v>431315.46</v>
      </c>
      <c r="I56" s="178">
        <f t="shared" si="3"/>
        <v>0</v>
      </c>
      <c r="J56" s="178">
        <f t="shared" si="3"/>
        <v>0</v>
      </c>
      <c r="K56" s="178">
        <f t="shared" si="3"/>
        <v>0</v>
      </c>
      <c r="L56" s="179">
        <f>F56+G56+H56+I56+J56+K56</f>
        <v>842254.45</v>
      </c>
      <c r="M56" s="167"/>
    </row>
    <row r="57" spans="1:13" ht="12" customHeight="1" x14ac:dyDescent="0.2">
      <c r="A57" s="180"/>
      <c r="B57" s="181"/>
      <c r="C57" s="181"/>
      <c r="D57" s="181"/>
      <c r="E57" s="181"/>
      <c r="F57" s="181"/>
      <c r="G57" s="181"/>
      <c r="H57" s="182"/>
      <c r="I57" s="182"/>
      <c r="J57" s="182"/>
      <c r="K57" s="183"/>
      <c r="L57" s="167"/>
      <c r="M57" s="167" t="s">
        <v>22</v>
      </c>
    </row>
    <row r="58" spans="1:13" ht="12" customHeight="1" x14ac:dyDescent="0.2">
      <c r="A58" s="184"/>
      <c r="B58" s="209" t="s">
        <v>12</v>
      </c>
      <c r="C58" s="204"/>
      <c r="D58" s="207"/>
      <c r="E58" s="420"/>
      <c r="F58" s="421"/>
      <c r="G58" s="487" t="s">
        <v>11</v>
      </c>
      <c r="H58" s="487"/>
      <c r="I58" s="167"/>
      <c r="J58" s="167"/>
      <c r="K58" s="162"/>
      <c r="L58" s="167"/>
      <c r="M58" s="167"/>
    </row>
    <row r="59" spans="1:13" ht="12" customHeight="1" x14ac:dyDescent="0.2">
      <c r="A59" s="163"/>
      <c r="B59" s="575" t="s">
        <v>23</v>
      </c>
      <c r="C59" s="575"/>
      <c r="D59" s="164"/>
      <c r="G59" s="576" t="s">
        <v>5</v>
      </c>
      <c r="H59" s="576"/>
      <c r="I59" s="167"/>
      <c r="J59" s="167"/>
      <c r="K59" s="162"/>
      <c r="L59" s="167"/>
      <c r="M59" s="167"/>
    </row>
    <row r="60" spans="1:13" ht="12" customHeight="1" x14ac:dyDescent="0.2">
      <c r="A60" s="163"/>
      <c r="B60" s="205"/>
      <c r="C60" s="205"/>
      <c r="D60" s="164"/>
      <c r="E60" s="206"/>
      <c r="F60" s="206"/>
      <c r="G60" s="185"/>
      <c r="H60" s="167"/>
      <c r="I60" s="167"/>
      <c r="J60" s="167"/>
      <c r="K60" s="162"/>
      <c r="L60" s="167"/>
      <c r="M60" s="167"/>
    </row>
    <row r="61" spans="1:13" ht="12" customHeight="1" x14ac:dyDescent="0.2">
      <c r="A61" s="163"/>
      <c r="B61" s="488"/>
      <c r="C61" s="488"/>
      <c r="D61" s="207"/>
      <c r="E61" s="207"/>
      <c r="F61" s="422"/>
      <c r="G61" s="167"/>
      <c r="H61" s="167"/>
      <c r="I61" s="167"/>
      <c r="J61" s="167"/>
      <c r="K61" s="162"/>
      <c r="L61" s="167"/>
      <c r="M61" s="167"/>
    </row>
    <row r="62" spans="1:13" ht="12" customHeight="1" x14ac:dyDescent="0.2">
      <c r="A62" s="165"/>
      <c r="B62" s="574" t="s">
        <v>8</v>
      </c>
      <c r="C62" s="574"/>
      <c r="D62" s="207"/>
      <c r="E62" s="207"/>
      <c r="F62" s="208"/>
      <c r="G62" s="186"/>
      <c r="H62" s="186"/>
      <c r="I62" s="186"/>
      <c r="J62" s="186"/>
      <c r="K62" s="187"/>
      <c r="L62" s="167"/>
      <c r="M62" s="167"/>
    </row>
    <row r="63" spans="1:13" ht="12" customHeight="1" x14ac:dyDescent="0.2"/>
    <row r="64" spans="1:13" ht="12" customHeight="1" x14ac:dyDescent="0.2">
      <c r="E64" s="89">
        <f>PLAN!H84</f>
        <v>842254.45</v>
      </c>
    </row>
    <row r="65" ht="12" customHeight="1" x14ac:dyDescent="0.2"/>
  </sheetData>
  <mergeCells count="61">
    <mergeCell ref="A11:A12"/>
    <mergeCell ref="A13:A14"/>
    <mergeCell ref="A7:A8"/>
    <mergeCell ref="A9:A10"/>
    <mergeCell ref="A3:K3"/>
    <mergeCell ref="A4:C4"/>
    <mergeCell ref="I4:K4"/>
    <mergeCell ref="A5:C5"/>
    <mergeCell ref="D5:H5"/>
    <mergeCell ref="B6:C6"/>
    <mergeCell ref="B7:C8"/>
    <mergeCell ref="B9:C10"/>
    <mergeCell ref="B11:C12"/>
    <mergeCell ref="B13:C14"/>
    <mergeCell ref="B21:C22"/>
    <mergeCell ref="A15:A16"/>
    <mergeCell ref="A17:A18"/>
    <mergeCell ref="B15:C16"/>
    <mergeCell ref="B17:C18"/>
    <mergeCell ref="B61:C61"/>
    <mergeCell ref="B62:C62"/>
    <mergeCell ref="G58:H58"/>
    <mergeCell ref="A27:A28"/>
    <mergeCell ref="A53:A54"/>
    <mergeCell ref="A29:A30"/>
    <mergeCell ref="B59:C59"/>
    <mergeCell ref="A45:A46"/>
    <mergeCell ref="A47:A48"/>
    <mergeCell ref="G59:H59"/>
    <mergeCell ref="A31:A32"/>
    <mergeCell ref="B27:C28"/>
    <mergeCell ref="B29:C30"/>
    <mergeCell ref="B31:C32"/>
    <mergeCell ref="A55:C56"/>
    <mergeCell ref="A41:A42"/>
    <mergeCell ref="A51:A52"/>
    <mergeCell ref="B47:C48"/>
    <mergeCell ref="B49:C50"/>
    <mergeCell ref="B51:C52"/>
    <mergeCell ref="B53:C54"/>
    <mergeCell ref="A2:K2"/>
    <mergeCell ref="A49:A50"/>
    <mergeCell ref="A33:A34"/>
    <mergeCell ref="A37:A38"/>
    <mergeCell ref="A43:A44"/>
    <mergeCell ref="A39:A40"/>
    <mergeCell ref="A35:A36"/>
    <mergeCell ref="B33:C34"/>
    <mergeCell ref="B35:C36"/>
    <mergeCell ref="A23:A24"/>
    <mergeCell ref="A25:A26"/>
    <mergeCell ref="B23:C24"/>
    <mergeCell ref="B25:C26"/>
    <mergeCell ref="A19:A20"/>
    <mergeCell ref="A21:A22"/>
    <mergeCell ref="B19:C20"/>
    <mergeCell ref="B37:C38"/>
    <mergeCell ref="B39:C40"/>
    <mergeCell ref="B41:C42"/>
    <mergeCell ref="B43:C44"/>
    <mergeCell ref="B45:C46"/>
  </mergeCells>
  <phoneticPr fontId="14" type="noConversion"/>
  <printOptions horizontalCentered="1"/>
  <pageMargins left="0.19685039370078741" right="0.19685039370078741" top="0.19685039370078741" bottom="0.19685039370078741" header="0.19685039370078741" footer="0"/>
  <pageSetup paperSize="9" scale="72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D7FC4-2663-4510-A700-58D734AD3D22}">
  <sheetPr codeName="Planilha6"/>
  <dimension ref="A1:M65"/>
  <sheetViews>
    <sheetView showGridLines="0" showZeros="0" view="pageBreakPreview" zoomScaleNormal="75" zoomScaleSheetLayoutView="100" workbookViewId="0">
      <pane ySplit="5" topLeftCell="A48" activePane="bottomLeft" state="frozen"/>
      <selection pane="bottomLeft" activeCell="K56" sqref="K56"/>
    </sheetView>
  </sheetViews>
  <sheetFormatPr defaultColWidth="9.140625" defaultRowHeight="12.75" x14ac:dyDescent="0.2"/>
  <cols>
    <col min="1" max="1" width="10.5703125" style="4" customWidth="1"/>
    <col min="2" max="2" width="10.28515625" style="4" customWidth="1"/>
    <col min="3" max="3" width="40.5703125" style="4" customWidth="1"/>
    <col min="4" max="5" width="14.7109375" style="5" customWidth="1"/>
    <col min="6" max="11" width="14.7109375" style="4" customWidth="1"/>
    <col min="12" max="12" width="11.42578125" style="4" customWidth="1"/>
    <col min="13" max="13" width="11.7109375" style="4" customWidth="1"/>
    <col min="14" max="16384" width="9.140625" style="4"/>
  </cols>
  <sheetData>
    <row r="1" spans="1:13" x14ac:dyDescent="0.2">
      <c r="F1" s="88">
        <f t="shared" ref="F1:K1" si="0">F55</f>
        <v>0</v>
      </c>
      <c r="G1" s="88">
        <f t="shared" si="0"/>
        <v>0</v>
      </c>
      <c r="H1" s="88">
        <f t="shared" si="0"/>
        <v>0</v>
      </c>
      <c r="I1" s="88">
        <f t="shared" si="0"/>
        <v>0</v>
      </c>
      <c r="J1" s="88">
        <f t="shared" si="0"/>
        <v>0</v>
      </c>
      <c r="K1" s="88">
        <f t="shared" si="0"/>
        <v>0</v>
      </c>
    </row>
    <row r="2" spans="1:13" ht="54.6" customHeight="1" x14ac:dyDescent="0.2">
      <c r="A2" s="563"/>
      <c r="B2" s="564"/>
      <c r="C2" s="564"/>
      <c r="D2" s="564"/>
      <c r="E2" s="564"/>
      <c r="F2" s="564"/>
      <c r="G2" s="564"/>
      <c r="H2" s="564"/>
      <c r="I2" s="564"/>
      <c r="J2" s="564"/>
      <c r="K2" s="565"/>
    </row>
    <row r="3" spans="1:13" s="6" customFormat="1" ht="14.1" customHeight="1" x14ac:dyDescent="0.2">
      <c r="A3" s="583" t="s">
        <v>15</v>
      </c>
      <c r="B3" s="583"/>
      <c r="C3" s="583"/>
      <c r="D3" s="583"/>
      <c r="E3" s="583"/>
      <c r="F3" s="583"/>
      <c r="G3" s="583"/>
      <c r="H3" s="583"/>
      <c r="I3" s="583"/>
      <c r="J3" s="583"/>
      <c r="K3" s="583"/>
      <c r="L3" s="166"/>
      <c r="M3" s="166"/>
    </row>
    <row r="4" spans="1:13" s="6" customFormat="1" ht="14.1" customHeight="1" x14ac:dyDescent="0.2">
      <c r="A4" s="584" t="s">
        <v>25</v>
      </c>
      <c r="B4" s="585"/>
      <c r="C4" s="586"/>
      <c r="D4" s="210" t="s">
        <v>27</v>
      </c>
      <c r="E4" s="211">
        <f>PLAN!H84</f>
        <v>842254.45</v>
      </c>
      <c r="F4" s="211"/>
      <c r="G4" s="212"/>
      <c r="H4" s="213"/>
      <c r="I4" s="587" t="str">
        <f>PLAN!H3</f>
        <v>DATA: 21/09/26</v>
      </c>
      <c r="J4" s="587"/>
      <c r="K4" s="587"/>
      <c r="L4" s="166"/>
      <c r="M4" s="166"/>
    </row>
    <row r="5" spans="1:13" s="6" customFormat="1" ht="13.9" customHeight="1" x14ac:dyDescent="0.2">
      <c r="A5" s="588" t="str">
        <f>PLAN!A3</f>
        <v>OBRA: SERVIÇOS DE INFRAESTRUTURA</v>
      </c>
      <c r="B5" s="589"/>
      <c r="C5" s="590"/>
      <c r="D5" s="591" t="str">
        <f>PLAN!A4</f>
        <v>LOCAL: ÁREAS PÚBLICAS MUNICIPAIS DE SANTA CRUZ DO ESCALVADO (MG)</v>
      </c>
      <c r="E5" s="591"/>
      <c r="F5" s="591"/>
      <c r="G5" s="591"/>
      <c r="H5" s="591"/>
      <c r="I5" s="345" t="str">
        <f>PLAN!A6</f>
        <v xml:space="preserve">PRAZO EXECUÇÃO:  </v>
      </c>
      <c r="J5" s="346" t="str">
        <f>PLAN!C6</f>
        <v>3 (três) meses</v>
      </c>
      <c r="K5" s="347"/>
      <c r="L5" s="166"/>
      <c r="M5" s="166"/>
    </row>
    <row r="6" spans="1:13" ht="27" customHeight="1" x14ac:dyDescent="0.2">
      <c r="A6" s="154" t="s">
        <v>0</v>
      </c>
      <c r="B6" s="592" t="s">
        <v>16</v>
      </c>
      <c r="C6" s="593"/>
      <c r="D6" s="155" t="s">
        <v>17</v>
      </c>
      <c r="E6" s="155" t="s">
        <v>18</v>
      </c>
      <c r="F6" s="154" t="s">
        <v>206</v>
      </c>
      <c r="G6" s="154" t="s">
        <v>207</v>
      </c>
      <c r="H6" s="154" t="s">
        <v>208</v>
      </c>
      <c r="I6" s="154" t="s">
        <v>209</v>
      </c>
      <c r="J6" s="154" t="s">
        <v>210</v>
      </c>
      <c r="K6" s="154" t="s">
        <v>211</v>
      </c>
      <c r="L6" s="167"/>
      <c r="M6" s="167"/>
    </row>
    <row r="7" spans="1:13" ht="12" customHeight="1" x14ac:dyDescent="0.2">
      <c r="A7" s="566">
        <f>CRON1!A7</f>
        <v>1</v>
      </c>
      <c r="B7" s="570" t="str">
        <f>CRON1!B7</f>
        <v>ADMINISTRAÇÃO LOCAL</v>
      </c>
      <c r="C7" s="571"/>
      <c r="D7" s="156" t="s">
        <v>19</v>
      </c>
      <c r="E7" s="168">
        <f>(E8/$E$56)</f>
        <v>0.16485067073228499</v>
      </c>
      <c r="F7" s="168"/>
      <c r="G7" s="168"/>
      <c r="H7" s="168"/>
      <c r="I7" s="169"/>
      <c r="J7" s="168"/>
      <c r="K7" s="168"/>
      <c r="L7" s="170">
        <f>SUM(F7:K7)+CRON1!L7</f>
        <v>1</v>
      </c>
      <c r="M7" s="167"/>
    </row>
    <row r="8" spans="1:13" ht="12" customHeight="1" x14ac:dyDescent="0.2">
      <c r="A8" s="567"/>
      <c r="B8" s="572"/>
      <c r="C8" s="573"/>
      <c r="D8" s="157" t="s">
        <v>20</v>
      </c>
      <c r="E8" s="171">
        <f>CRON1!E8</f>
        <v>28014.54</v>
      </c>
      <c r="F8" s="171">
        <f>ROUND(F7*E8,2)</f>
        <v>0</v>
      </c>
      <c r="G8" s="171">
        <f>ROUND(G7*E8,2)</f>
        <v>0</v>
      </c>
      <c r="H8" s="171">
        <f>ROUND(H7*E8,2)</f>
        <v>0</v>
      </c>
      <c r="I8" s="171">
        <f>ROUND(I7*E8,2)</f>
        <v>0</v>
      </c>
      <c r="J8" s="171">
        <f>ROUND(J7*E8,2)</f>
        <v>0</v>
      </c>
      <c r="K8" s="171">
        <f>ROUND(K7*E8,2)</f>
        <v>0</v>
      </c>
      <c r="L8" s="172">
        <f>SUM(F8:K8)+CRON1!L8</f>
        <v>28014.54</v>
      </c>
      <c r="M8" s="172">
        <f>L8-E8</f>
        <v>0</v>
      </c>
    </row>
    <row r="9" spans="1:13" ht="12" customHeight="1" x14ac:dyDescent="0.2">
      <c r="A9" s="566">
        <f>CRON1!A9</f>
        <v>2</v>
      </c>
      <c r="B9" s="570" t="str">
        <f>CRON1!B9</f>
        <v>SERVIÇOS PRELIMINARES</v>
      </c>
      <c r="C9" s="571"/>
      <c r="D9" s="156" t="s">
        <v>19</v>
      </c>
      <c r="E9" s="168">
        <f>(E10/$E$56)</f>
        <v>2.8555323622509243E-2</v>
      </c>
      <c r="F9" s="168"/>
      <c r="G9" s="168"/>
      <c r="H9" s="168"/>
      <c r="I9" s="169"/>
      <c r="J9" s="168"/>
      <c r="K9" s="168"/>
      <c r="L9" s="170">
        <f>SUM(F9:K9)+CRON1!L9</f>
        <v>1</v>
      </c>
      <c r="M9" s="167"/>
    </row>
    <row r="10" spans="1:13" ht="12" customHeight="1" x14ac:dyDescent="0.2">
      <c r="A10" s="567"/>
      <c r="B10" s="572"/>
      <c r="C10" s="573"/>
      <c r="D10" s="157" t="s">
        <v>20</v>
      </c>
      <c r="E10" s="171">
        <f>CRON1!E10</f>
        <v>4852.66</v>
      </c>
      <c r="F10" s="171">
        <f>ROUND(F9*E10,2)</f>
        <v>0</v>
      </c>
      <c r="G10" s="171">
        <f>ROUND(G9*E10,2)</f>
        <v>0</v>
      </c>
      <c r="H10" s="171">
        <f>ROUND(H9*E10,2)</f>
        <v>0</v>
      </c>
      <c r="I10" s="171">
        <f>ROUND(I9*E10,2)</f>
        <v>0</v>
      </c>
      <c r="J10" s="171">
        <f>ROUND(J9*E10,2)</f>
        <v>0</v>
      </c>
      <c r="K10" s="171">
        <f>ROUND(K9*E10,2)</f>
        <v>0</v>
      </c>
      <c r="L10" s="172">
        <f>SUM(F10:K10)+CRON1!L10</f>
        <v>4852.66</v>
      </c>
      <c r="M10" s="172">
        <f>L10-E10</f>
        <v>0</v>
      </c>
    </row>
    <row r="11" spans="1:13" ht="12" customHeight="1" x14ac:dyDescent="0.2">
      <c r="A11" s="566">
        <f>CRON1!A11</f>
        <v>3</v>
      </c>
      <c r="B11" s="570" t="str">
        <f>CRON1!B11</f>
        <v>ÁREA 01 - RUA SAGRADOS CORAÇÕES</v>
      </c>
      <c r="C11" s="571"/>
      <c r="D11" s="156" t="s">
        <v>19</v>
      </c>
      <c r="E11" s="168">
        <f>(E12/$E$56)</f>
        <v>0</v>
      </c>
      <c r="F11" s="168"/>
      <c r="G11" s="168"/>
      <c r="H11" s="168"/>
      <c r="I11" s="169"/>
      <c r="J11" s="168"/>
      <c r="K11" s="168"/>
      <c r="L11" s="170">
        <f>SUM(F11:K11)+CRON1!L11</f>
        <v>0</v>
      </c>
      <c r="M11" s="167"/>
    </row>
    <row r="12" spans="1:13" ht="12" customHeight="1" x14ac:dyDescent="0.2">
      <c r="A12" s="567"/>
      <c r="B12" s="572"/>
      <c r="C12" s="573"/>
      <c r="D12" s="157" t="s">
        <v>20</v>
      </c>
      <c r="E12" s="171">
        <f>CRON1!E12</f>
        <v>0</v>
      </c>
      <c r="F12" s="171">
        <f>ROUND(F11*E12,2)</f>
        <v>0</v>
      </c>
      <c r="G12" s="171">
        <f>ROUND(G11*E12,2)</f>
        <v>0</v>
      </c>
      <c r="H12" s="171">
        <f>ROUND(H11*E12,2)</f>
        <v>0</v>
      </c>
      <c r="I12" s="171">
        <f>ROUND(I11*E12,2)</f>
        <v>0</v>
      </c>
      <c r="J12" s="171">
        <f>ROUND(J11*E12,2)</f>
        <v>0</v>
      </c>
      <c r="K12" s="171">
        <f>ROUND(K11*E12,2)</f>
        <v>0</v>
      </c>
      <c r="L12" s="172">
        <f>SUM(F12:K12)+CRON1!L12</f>
        <v>0</v>
      </c>
      <c r="M12" s="172">
        <f>L12-E12</f>
        <v>0</v>
      </c>
    </row>
    <row r="13" spans="1:13" ht="12" customHeight="1" x14ac:dyDescent="0.2">
      <c r="A13" s="566" t="str">
        <f>CRON1!A13</f>
        <v>3.1</v>
      </c>
      <c r="B13" s="570" t="str">
        <f>CRON1!B13</f>
        <v>DEMOLIÇÕES E REMOÇÕES</v>
      </c>
      <c r="C13" s="571"/>
      <c r="D13" s="156" t="s">
        <v>19</v>
      </c>
      <c r="E13" s="168">
        <f>(E14/$E$56)</f>
        <v>2.101325953111733E-2</v>
      </c>
      <c r="F13" s="168"/>
      <c r="G13" s="168"/>
      <c r="H13" s="168"/>
      <c r="I13" s="169"/>
      <c r="J13" s="168"/>
      <c r="K13" s="168"/>
      <c r="L13" s="170">
        <f>SUM(F13:K13)+CRON1!L13</f>
        <v>1</v>
      </c>
      <c r="M13" s="167"/>
    </row>
    <row r="14" spans="1:13" ht="12" customHeight="1" x14ac:dyDescent="0.2">
      <c r="A14" s="567"/>
      <c r="B14" s="572"/>
      <c r="C14" s="573"/>
      <c r="D14" s="157" t="s">
        <v>20</v>
      </c>
      <c r="E14" s="171">
        <f>CRON1!E14</f>
        <v>3570.97</v>
      </c>
      <c r="F14" s="171">
        <f>ROUND(F13*E14,2)</f>
        <v>0</v>
      </c>
      <c r="G14" s="171">
        <f>ROUND(G13*E14,2)</f>
        <v>0</v>
      </c>
      <c r="H14" s="171">
        <f>ROUND(H13*E14,2)</f>
        <v>0</v>
      </c>
      <c r="I14" s="171">
        <f>ROUND(I13*E14,2)</f>
        <v>0</v>
      </c>
      <c r="J14" s="171">
        <f>ROUND(J13*E14,2)</f>
        <v>0</v>
      </c>
      <c r="K14" s="171">
        <f>ROUND(K13*E14,2)</f>
        <v>0</v>
      </c>
      <c r="L14" s="172">
        <f>SUM(F14:K14)+CRON1!L14</f>
        <v>3570.97</v>
      </c>
      <c r="M14" s="172">
        <f>L14-E14</f>
        <v>0</v>
      </c>
    </row>
    <row r="15" spans="1:13" ht="12" customHeight="1" x14ac:dyDescent="0.2">
      <c r="A15" s="566" t="str">
        <f>CRON1!A15</f>
        <v>3.2</v>
      </c>
      <c r="B15" s="570" t="str">
        <f>CRON1!B15</f>
        <v>EXECUÇÃO DE CANTEIROS</v>
      </c>
      <c r="C15" s="571"/>
      <c r="D15" s="156" t="s">
        <v>19</v>
      </c>
      <c r="E15" s="168">
        <f>(E16/$E$56)</f>
        <v>6.9676399557511523E-2</v>
      </c>
      <c r="F15" s="168"/>
      <c r="G15" s="168"/>
      <c r="H15" s="168"/>
      <c r="I15" s="169"/>
      <c r="J15" s="168"/>
      <c r="K15" s="168"/>
      <c r="L15" s="170">
        <f>SUM(F15:K15)+CRON1!L15</f>
        <v>1</v>
      </c>
      <c r="M15" s="167"/>
    </row>
    <row r="16" spans="1:13" ht="12" customHeight="1" x14ac:dyDescent="0.2">
      <c r="A16" s="567"/>
      <c r="B16" s="572"/>
      <c r="C16" s="573"/>
      <c r="D16" s="157" t="s">
        <v>20</v>
      </c>
      <c r="E16" s="171">
        <f>CRON1!E16</f>
        <v>11840.73</v>
      </c>
      <c r="F16" s="171">
        <f>ROUND(F15*E16,2)</f>
        <v>0</v>
      </c>
      <c r="G16" s="171">
        <f>ROUND(G15*E16,2)</f>
        <v>0</v>
      </c>
      <c r="H16" s="171">
        <f>ROUND(H15*E16,2)</f>
        <v>0</v>
      </c>
      <c r="I16" s="171">
        <f>ROUND(I15*E16,2)</f>
        <v>0</v>
      </c>
      <c r="J16" s="171">
        <f>ROUND(J15*E16,2)</f>
        <v>0</v>
      </c>
      <c r="K16" s="171">
        <f>ROUND(K15*E16,2)</f>
        <v>0</v>
      </c>
      <c r="L16" s="172">
        <f>SUM(F16:K16)+CRON1!L16</f>
        <v>11840.73</v>
      </c>
      <c r="M16" s="172">
        <f>L16-E16</f>
        <v>0</v>
      </c>
    </row>
    <row r="17" spans="1:13" ht="12" customHeight="1" x14ac:dyDescent="0.2">
      <c r="A17" s="566" t="str">
        <f>CRON1!A17</f>
        <v>3.3</v>
      </c>
      <c r="B17" s="570" t="str">
        <f>CRON1!B17</f>
        <v>PAISAGISMO</v>
      </c>
      <c r="C17" s="571"/>
      <c r="D17" s="156" t="s">
        <v>19</v>
      </c>
      <c r="E17" s="168">
        <f>(E18/$E$56)</f>
        <v>2.2712399733810191E-2</v>
      </c>
      <c r="F17" s="168"/>
      <c r="G17" s="168"/>
      <c r="H17" s="168"/>
      <c r="I17" s="169"/>
      <c r="J17" s="168"/>
      <c r="K17" s="168"/>
      <c r="L17" s="170">
        <f>SUM(F17:K17)+CRON1!L17</f>
        <v>1</v>
      </c>
      <c r="M17" s="167"/>
    </row>
    <row r="18" spans="1:13" ht="12" customHeight="1" x14ac:dyDescent="0.2">
      <c r="A18" s="567"/>
      <c r="B18" s="572"/>
      <c r="C18" s="573"/>
      <c r="D18" s="157" t="s">
        <v>20</v>
      </c>
      <c r="E18" s="171">
        <f>CRON1!E18</f>
        <v>3859.72</v>
      </c>
      <c r="F18" s="171">
        <f>ROUND(F17*E18,2)</f>
        <v>0</v>
      </c>
      <c r="G18" s="171">
        <f>ROUND(G17*E18,2)</f>
        <v>0</v>
      </c>
      <c r="H18" s="171">
        <f>ROUND(H17*E18,2)</f>
        <v>0</v>
      </c>
      <c r="I18" s="171">
        <f>ROUND(I17*E18,2)</f>
        <v>0</v>
      </c>
      <c r="J18" s="171">
        <f>ROUND(J17*E18,2)</f>
        <v>0</v>
      </c>
      <c r="K18" s="171">
        <f>ROUND(K17*E18,2)</f>
        <v>0</v>
      </c>
      <c r="L18" s="172">
        <f>SUM(F18:K18)+CRON1!L18</f>
        <v>3859.72</v>
      </c>
      <c r="M18" s="172">
        <f>L18-E18</f>
        <v>0</v>
      </c>
    </row>
    <row r="19" spans="1:13" ht="12" customHeight="1" x14ac:dyDescent="0.2">
      <c r="A19" s="566" t="str">
        <f>CRON1!A19</f>
        <v>3.4</v>
      </c>
      <c r="B19" s="570" t="str">
        <f>CRON1!B19</f>
        <v>DRENAGEM PLUVIAL</v>
      </c>
      <c r="C19" s="571"/>
      <c r="D19" s="156" t="s">
        <v>19</v>
      </c>
      <c r="E19" s="168">
        <f>(E20/$E$56)</f>
        <v>1.2062394899719539E-2</v>
      </c>
      <c r="F19" s="168"/>
      <c r="G19" s="168"/>
      <c r="H19" s="168"/>
      <c r="I19" s="169"/>
      <c r="J19" s="168"/>
      <c r="K19" s="168"/>
      <c r="L19" s="170">
        <f>SUM(F19:K19)+CRON1!L19</f>
        <v>1</v>
      </c>
      <c r="M19" s="167"/>
    </row>
    <row r="20" spans="1:13" ht="12" customHeight="1" x14ac:dyDescent="0.2">
      <c r="A20" s="567"/>
      <c r="B20" s="572"/>
      <c r="C20" s="573"/>
      <c r="D20" s="157" t="s">
        <v>20</v>
      </c>
      <c r="E20" s="171">
        <f>CRON1!E20</f>
        <v>2049.87</v>
      </c>
      <c r="F20" s="171">
        <f>ROUND(F19*E20,2)</f>
        <v>0</v>
      </c>
      <c r="G20" s="171">
        <f>ROUND(G19*E20,2)</f>
        <v>0</v>
      </c>
      <c r="H20" s="171">
        <f>ROUND(H19*E20,2)</f>
        <v>0</v>
      </c>
      <c r="I20" s="171">
        <f>ROUND(I19*E20,2)</f>
        <v>0</v>
      </c>
      <c r="J20" s="171">
        <f>ROUND(J19*E20,2)</f>
        <v>0</v>
      </c>
      <c r="K20" s="171">
        <f>ROUND(K19*E20,2)</f>
        <v>0</v>
      </c>
      <c r="L20" s="172">
        <f>SUM(F20:K20)+CRON1!L20</f>
        <v>2049.87</v>
      </c>
      <c r="M20" s="172">
        <f>L20-E20</f>
        <v>0</v>
      </c>
    </row>
    <row r="21" spans="1:13" ht="12" customHeight="1" x14ac:dyDescent="0.2">
      <c r="A21" s="566" t="str">
        <f>CRON1!A21</f>
        <v>3.5</v>
      </c>
      <c r="B21" s="570" t="str">
        <f>CRON1!B21</f>
        <v>PAVIMENTAÇÃO</v>
      </c>
      <c r="C21" s="571"/>
      <c r="D21" s="158" t="s">
        <v>19</v>
      </c>
      <c r="E21" s="168">
        <f>(E22/$E$56)</f>
        <v>0.46593560779407228</v>
      </c>
      <c r="F21" s="168"/>
      <c r="G21" s="168"/>
      <c r="H21" s="168"/>
      <c r="I21" s="169"/>
      <c r="J21" s="168"/>
      <c r="K21" s="168"/>
      <c r="L21" s="170">
        <f>SUM(F21:K21)+CRON1!L21</f>
        <v>1</v>
      </c>
      <c r="M21" s="167"/>
    </row>
    <row r="22" spans="1:13" ht="12" customHeight="1" x14ac:dyDescent="0.2">
      <c r="A22" s="567"/>
      <c r="B22" s="572"/>
      <c r="C22" s="573"/>
      <c r="D22" s="159" t="s">
        <v>20</v>
      </c>
      <c r="E22" s="171">
        <f>CRON1!E22</f>
        <v>79180.58</v>
      </c>
      <c r="F22" s="171">
        <f>ROUND(F21*E22,2)</f>
        <v>0</v>
      </c>
      <c r="G22" s="171">
        <f>ROUND(G21*E22,2)</f>
        <v>0</v>
      </c>
      <c r="H22" s="171">
        <f>ROUND(H21*E22,2)</f>
        <v>0</v>
      </c>
      <c r="I22" s="171">
        <f>ROUND(I21*E22,2)</f>
        <v>0</v>
      </c>
      <c r="J22" s="171">
        <f>ROUND(J21*E22,2)</f>
        <v>0</v>
      </c>
      <c r="K22" s="171">
        <f>ROUND(K21*E22,2)</f>
        <v>0</v>
      </c>
      <c r="L22" s="172">
        <f>SUM(F22:K22)+CRON1!L22</f>
        <v>79180.58</v>
      </c>
      <c r="M22" s="172">
        <f>L22-E22</f>
        <v>0</v>
      </c>
    </row>
    <row r="23" spans="1:13" ht="12" customHeight="1" x14ac:dyDescent="0.2">
      <c r="A23" s="566" t="str">
        <f>CRON1!A23</f>
        <v>3.6</v>
      </c>
      <c r="B23" s="570" t="str">
        <f>CRON1!B23</f>
        <v>GUARDA CORPO FIXADO EM CINTA DE CONCRETO ARMADO</v>
      </c>
      <c r="C23" s="571"/>
      <c r="D23" s="156" t="s">
        <v>19</v>
      </c>
      <c r="E23" s="168">
        <f>(E24/$E$56)</f>
        <v>0.2021495491702929</v>
      </c>
      <c r="F23" s="168"/>
      <c r="G23" s="168"/>
      <c r="H23" s="168"/>
      <c r="I23" s="169"/>
      <c r="J23" s="168"/>
      <c r="K23" s="168"/>
      <c r="L23" s="170">
        <f>SUM(F23:K23)+CRON1!L23</f>
        <v>1</v>
      </c>
      <c r="M23" s="167"/>
    </row>
    <row r="24" spans="1:13" ht="12" customHeight="1" x14ac:dyDescent="0.2">
      <c r="A24" s="567"/>
      <c r="B24" s="572"/>
      <c r="C24" s="573"/>
      <c r="D24" s="157" t="s">
        <v>20</v>
      </c>
      <c r="E24" s="171">
        <f>CRON1!E24</f>
        <v>34353.07</v>
      </c>
      <c r="F24" s="171">
        <f>ROUND(F23*E24,2)</f>
        <v>0</v>
      </c>
      <c r="G24" s="171">
        <f>ROUND(G23*E24,2)</f>
        <v>0</v>
      </c>
      <c r="H24" s="171">
        <f>ROUND(H23*E24,2)</f>
        <v>0</v>
      </c>
      <c r="I24" s="171">
        <f>ROUND(I23*E24,2)</f>
        <v>0</v>
      </c>
      <c r="J24" s="171">
        <f>ROUND(J23*E24,2)</f>
        <v>0</v>
      </c>
      <c r="K24" s="171">
        <f>ROUND(K23*E24,2)</f>
        <v>0</v>
      </c>
      <c r="L24" s="172">
        <f>SUM(F24:K24)+CRON1!L24</f>
        <v>34353.07</v>
      </c>
      <c r="M24" s="172">
        <f>L24-E24</f>
        <v>0</v>
      </c>
    </row>
    <row r="25" spans="1:13" ht="12" customHeight="1" x14ac:dyDescent="0.2">
      <c r="A25" s="566">
        <f>CRON1!A25</f>
        <v>4</v>
      </c>
      <c r="B25" s="570" t="str">
        <f>CRON1!B25</f>
        <v>ÁREA 02 - RUA OTÁVIO SOARES</v>
      </c>
      <c r="C25" s="571"/>
      <c r="D25" s="158" t="s">
        <v>19</v>
      </c>
      <c r="E25" s="168">
        <f>(E26/$E$56)</f>
        <v>0</v>
      </c>
      <c r="F25" s="168"/>
      <c r="G25" s="168"/>
      <c r="H25" s="168"/>
      <c r="I25" s="169"/>
      <c r="J25" s="168"/>
      <c r="K25" s="168"/>
      <c r="L25" s="170">
        <f>SUM(F25:K25)+CRON1!L25</f>
        <v>0</v>
      </c>
      <c r="M25" s="167"/>
    </row>
    <row r="26" spans="1:13" ht="12" customHeight="1" x14ac:dyDescent="0.2">
      <c r="A26" s="567"/>
      <c r="B26" s="572"/>
      <c r="C26" s="573"/>
      <c r="D26" s="159" t="s">
        <v>20</v>
      </c>
      <c r="E26" s="171">
        <f>CRON1!E26</f>
        <v>0</v>
      </c>
      <c r="F26" s="171">
        <f>ROUND(F25*E26,2)</f>
        <v>0</v>
      </c>
      <c r="G26" s="171">
        <f>ROUND(G25*E26,2)</f>
        <v>0</v>
      </c>
      <c r="H26" s="171">
        <f>ROUND(H25*E26,2)</f>
        <v>0</v>
      </c>
      <c r="I26" s="171">
        <f>ROUND(I25*E26,2)</f>
        <v>0</v>
      </c>
      <c r="J26" s="171">
        <f>ROUND(J25*E26,2)</f>
        <v>0</v>
      </c>
      <c r="K26" s="171">
        <f>ROUND(K25*E26,2)</f>
        <v>0</v>
      </c>
      <c r="L26" s="172">
        <f>SUM(F26:K26)+CRON1!L26</f>
        <v>0</v>
      </c>
      <c r="M26" s="172">
        <f>L26-E26</f>
        <v>0</v>
      </c>
    </row>
    <row r="27" spans="1:13" ht="12" customHeight="1" x14ac:dyDescent="0.2">
      <c r="A27" s="566" t="str">
        <f>CRON1!A27</f>
        <v>4.1</v>
      </c>
      <c r="B27" s="570" t="str">
        <f>CRON1!B27</f>
        <v>DEMOLIÇÕES E REMOÇÕES</v>
      </c>
      <c r="C27" s="571"/>
      <c r="D27" s="156" t="s">
        <v>19</v>
      </c>
      <c r="E27" s="168">
        <f>(E28/$E$56)</f>
        <v>1.3044394958681911E-2</v>
      </c>
      <c r="F27" s="168"/>
      <c r="G27" s="168"/>
      <c r="H27" s="168"/>
      <c r="I27" s="169"/>
      <c r="J27" s="168"/>
      <c r="K27" s="168"/>
      <c r="L27" s="170">
        <f>SUM(F27:K27)+CRON1!L27</f>
        <v>1</v>
      </c>
      <c r="M27" s="167"/>
    </row>
    <row r="28" spans="1:13" ht="12" customHeight="1" x14ac:dyDescent="0.2">
      <c r="A28" s="567"/>
      <c r="B28" s="572"/>
      <c r="C28" s="573"/>
      <c r="D28" s="157" t="s">
        <v>20</v>
      </c>
      <c r="E28" s="171">
        <f>CRON1!E28</f>
        <v>2216.75</v>
      </c>
      <c r="F28" s="171">
        <f>ROUND(F27*E28,2)</f>
        <v>0</v>
      </c>
      <c r="G28" s="171">
        <f>ROUND(G27*E28,2)</f>
        <v>0</v>
      </c>
      <c r="H28" s="171">
        <f>ROUND(H27*E28,2)</f>
        <v>0</v>
      </c>
      <c r="I28" s="171">
        <f>ROUND(I27*E28,2)</f>
        <v>0</v>
      </c>
      <c r="J28" s="171">
        <f>ROUND(J27*E28,2)</f>
        <v>0</v>
      </c>
      <c r="K28" s="171">
        <f>ROUND(K27*E28,2)</f>
        <v>0</v>
      </c>
      <c r="L28" s="172">
        <f>SUM(F28:K28)+CRON1!L28</f>
        <v>2216.75</v>
      </c>
      <c r="M28" s="172">
        <f>L28-E28</f>
        <v>0</v>
      </c>
    </row>
    <row r="29" spans="1:13" ht="12" customHeight="1" x14ac:dyDescent="0.2">
      <c r="A29" s="568"/>
      <c r="B29" s="559"/>
      <c r="C29" s="560"/>
      <c r="D29" s="158" t="s">
        <v>19</v>
      </c>
      <c r="E29" s="168">
        <f>(E30/$E$56)</f>
        <v>0</v>
      </c>
      <c r="F29" s="175"/>
      <c r="G29" s="175"/>
      <c r="H29" s="175"/>
      <c r="I29" s="176"/>
      <c r="J29" s="175"/>
      <c r="K29" s="175"/>
      <c r="L29" s="170">
        <f>SUM(F29:K29)+CRON1!L29</f>
        <v>1</v>
      </c>
      <c r="M29" s="167"/>
    </row>
    <row r="30" spans="1:13" ht="12" customHeight="1" x14ac:dyDescent="0.2">
      <c r="A30" s="569"/>
      <c r="B30" s="561"/>
      <c r="C30" s="562"/>
      <c r="D30" s="159" t="s">
        <v>20</v>
      </c>
      <c r="E30" s="171"/>
      <c r="F30" s="171">
        <f>ROUND(F29*E30,2)</f>
        <v>0</v>
      </c>
      <c r="G30" s="171">
        <f>ROUND(G29*E30,2)</f>
        <v>0</v>
      </c>
      <c r="H30" s="171">
        <f>ROUND(H29*E30,2)</f>
        <v>0</v>
      </c>
      <c r="I30" s="171">
        <f>ROUND(I29*E30,2)</f>
        <v>0</v>
      </c>
      <c r="J30" s="171">
        <f>ROUND(J29*E30,2)</f>
        <v>0</v>
      </c>
      <c r="K30" s="171">
        <f>ROUND(K29*E30,2)</f>
        <v>0</v>
      </c>
      <c r="L30" s="172">
        <f>SUM(F30:K30)+CRON1!L30</f>
        <v>510431.92000000004</v>
      </c>
      <c r="M30" s="172">
        <f>L30-E30</f>
        <v>510431.92000000004</v>
      </c>
    </row>
    <row r="31" spans="1:13" ht="12" customHeight="1" x14ac:dyDescent="0.2">
      <c r="A31" s="566"/>
      <c r="B31" s="559"/>
      <c r="C31" s="560"/>
      <c r="D31" s="156" t="s">
        <v>19</v>
      </c>
      <c r="E31" s="168">
        <f>(E32/$E$56)</f>
        <v>0</v>
      </c>
      <c r="F31" s="174"/>
      <c r="G31" s="174"/>
      <c r="H31" s="174"/>
      <c r="I31" s="173"/>
      <c r="J31" s="174"/>
      <c r="K31" s="174"/>
      <c r="L31" s="170">
        <f>SUM(F31:K31)+CRON1!L31</f>
        <v>1</v>
      </c>
      <c r="M31" s="167"/>
    </row>
    <row r="32" spans="1:13" ht="12" customHeight="1" x14ac:dyDescent="0.2">
      <c r="A32" s="567"/>
      <c r="B32" s="561"/>
      <c r="C32" s="562"/>
      <c r="D32" s="157" t="s">
        <v>20</v>
      </c>
      <c r="E32" s="171"/>
      <c r="F32" s="171">
        <f>ROUND(F31*E32,2)</f>
        <v>0</v>
      </c>
      <c r="G32" s="171">
        <f>ROUND(G31*E32,2)</f>
        <v>0</v>
      </c>
      <c r="H32" s="171">
        <f>ROUND(H31*E32,2)</f>
        <v>0</v>
      </c>
      <c r="I32" s="171">
        <f>ROUND(I31*E32,2)</f>
        <v>0</v>
      </c>
      <c r="J32" s="171">
        <f>ROUND(J31*E32,2)</f>
        <v>0</v>
      </c>
      <c r="K32" s="171">
        <f>ROUND(K31*E32,2)</f>
        <v>0</v>
      </c>
      <c r="L32" s="172">
        <f>SUM(F32:K32)+CRON1!L32</f>
        <v>13086.74</v>
      </c>
      <c r="M32" s="172">
        <f>L32-E32</f>
        <v>13086.74</v>
      </c>
    </row>
    <row r="33" spans="1:13" ht="12" customHeight="1" x14ac:dyDescent="0.2">
      <c r="A33" s="568"/>
      <c r="B33" s="559"/>
      <c r="C33" s="560"/>
      <c r="D33" s="158" t="s">
        <v>19</v>
      </c>
      <c r="E33" s="168">
        <f>(E34/$E$56)</f>
        <v>0</v>
      </c>
      <c r="F33" s="175"/>
      <c r="G33" s="175"/>
      <c r="H33" s="175"/>
      <c r="I33" s="176"/>
      <c r="J33" s="175"/>
      <c r="K33" s="175"/>
      <c r="L33" s="170">
        <f>SUM(F33:K33)+CRON1!L33</f>
        <v>1</v>
      </c>
      <c r="M33" s="167"/>
    </row>
    <row r="34" spans="1:13" ht="12" customHeight="1" x14ac:dyDescent="0.2">
      <c r="A34" s="569"/>
      <c r="B34" s="561"/>
      <c r="C34" s="562"/>
      <c r="D34" s="159" t="s">
        <v>20</v>
      </c>
      <c r="E34" s="171"/>
      <c r="F34" s="171">
        <f>ROUND(F33*E34,2)</f>
        <v>0</v>
      </c>
      <c r="G34" s="171">
        <f>ROUND(G33*E34,2)</f>
        <v>0</v>
      </c>
      <c r="H34" s="171">
        <f>ROUND(H33*E34,2)</f>
        <v>0</v>
      </c>
      <c r="I34" s="171">
        <f>ROUND(I33*E34,2)</f>
        <v>0</v>
      </c>
      <c r="J34" s="171">
        <f>ROUND(J33*E34,2)</f>
        <v>0</v>
      </c>
      <c r="K34" s="171">
        <f>ROUND(K33*E34,2)</f>
        <v>0</v>
      </c>
      <c r="L34" s="172">
        <f>SUM(F34:K34)+CRON1!L34</f>
        <v>148796.9</v>
      </c>
      <c r="M34" s="172">
        <f>L34-E34</f>
        <v>148796.9</v>
      </c>
    </row>
    <row r="35" spans="1:13" ht="12" customHeight="1" x14ac:dyDescent="0.2">
      <c r="A35" s="566"/>
      <c r="B35" s="559"/>
      <c r="C35" s="560"/>
      <c r="D35" s="156" t="s">
        <v>19</v>
      </c>
      <c r="E35" s="168">
        <f>(E36/$E$56)</f>
        <v>0</v>
      </c>
      <c r="F35" s="174"/>
      <c r="G35" s="174"/>
      <c r="H35" s="174"/>
      <c r="I35" s="173"/>
      <c r="J35" s="174"/>
      <c r="K35" s="174"/>
      <c r="L35" s="170">
        <f>SUM(F35:K35)+CRON1!L35</f>
        <v>0</v>
      </c>
      <c r="M35" s="167"/>
    </row>
    <row r="36" spans="1:13" ht="12" customHeight="1" x14ac:dyDescent="0.2">
      <c r="A36" s="567"/>
      <c r="B36" s="561"/>
      <c r="C36" s="562"/>
      <c r="D36" s="157" t="s">
        <v>20</v>
      </c>
      <c r="E36" s="171"/>
      <c r="F36" s="171">
        <f>ROUND(F35*E36,2)</f>
        <v>0</v>
      </c>
      <c r="G36" s="171">
        <f>ROUND(G35*E36,2)</f>
        <v>0</v>
      </c>
      <c r="H36" s="171">
        <f>ROUND(H35*E36,2)</f>
        <v>0</v>
      </c>
      <c r="I36" s="171">
        <f>ROUND(I35*E36,2)</f>
        <v>0</v>
      </c>
      <c r="J36" s="171">
        <f>ROUND(J35*E36,2)</f>
        <v>0</v>
      </c>
      <c r="K36" s="171">
        <f>ROUND(K35*E36,2)</f>
        <v>0</v>
      </c>
      <c r="L36" s="172">
        <f>SUM(F36:K36)+CRON1!L36</f>
        <v>0</v>
      </c>
      <c r="M36" s="172">
        <f>L36-E36</f>
        <v>0</v>
      </c>
    </row>
    <row r="37" spans="1:13" ht="12" customHeight="1" x14ac:dyDescent="0.2">
      <c r="A37" s="568"/>
      <c r="B37" s="559"/>
      <c r="C37" s="560"/>
      <c r="D37" s="158" t="s">
        <v>19</v>
      </c>
      <c r="E37" s="168">
        <f>(E38/$E$56)</f>
        <v>0</v>
      </c>
      <c r="F37" s="175"/>
      <c r="G37" s="175"/>
      <c r="H37" s="175"/>
      <c r="I37" s="176"/>
      <c r="J37" s="175"/>
      <c r="K37" s="175"/>
      <c r="L37" s="170">
        <f>SUM(F37:K37)+CRON1!L37</f>
        <v>0</v>
      </c>
      <c r="M37" s="167"/>
    </row>
    <row r="38" spans="1:13" ht="12" customHeight="1" x14ac:dyDescent="0.2">
      <c r="A38" s="569"/>
      <c r="B38" s="561"/>
      <c r="C38" s="562"/>
      <c r="D38" s="159" t="s">
        <v>20</v>
      </c>
      <c r="E38" s="171"/>
      <c r="F38" s="171">
        <f>ROUND(F37*E38,2)</f>
        <v>0</v>
      </c>
      <c r="G38" s="171">
        <f>ROUND(G37*E38,2)</f>
        <v>0</v>
      </c>
      <c r="H38" s="171">
        <f>ROUND(H37*E38,2)</f>
        <v>0</v>
      </c>
      <c r="I38" s="171">
        <f>ROUND(I37*E38,2)</f>
        <v>0</v>
      </c>
      <c r="J38" s="171">
        <f>ROUND(J37*E38,2)</f>
        <v>0</v>
      </c>
      <c r="K38" s="171">
        <f>ROUND(K37*E38,2)</f>
        <v>0</v>
      </c>
      <c r="L38" s="172">
        <f>SUM(F38:K38)+CRON1!L38</f>
        <v>0</v>
      </c>
      <c r="M38" s="172">
        <f>L38-E38</f>
        <v>0</v>
      </c>
    </row>
    <row r="39" spans="1:13" ht="12" customHeight="1" x14ac:dyDescent="0.2">
      <c r="A39" s="566"/>
      <c r="B39" s="559"/>
      <c r="C39" s="560"/>
      <c r="D39" s="156" t="s">
        <v>19</v>
      </c>
      <c r="E39" s="168">
        <f>(E40/$E$56)</f>
        <v>0</v>
      </c>
      <c r="F39" s="174"/>
      <c r="G39" s="174"/>
      <c r="H39" s="174"/>
      <c r="I39" s="173"/>
      <c r="J39" s="174"/>
      <c r="K39" s="174"/>
      <c r="L39" s="170">
        <f>SUM(F39:K39)+CRON1!L39</f>
        <v>0</v>
      </c>
      <c r="M39" s="167"/>
    </row>
    <row r="40" spans="1:13" ht="12" customHeight="1" x14ac:dyDescent="0.2">
      <c r="A40" s="567"/>
      <c r="B40" s="561"/>
      <c r="C40" s="562"/>
      <c r="D40" s="157" t="s">
        <v>20</v>
      </c>
      <c r="E40" s="171"/>
      <c r="F40" s="171">
        <f>ROUND(F39*E40,2)</f>
        <v>0</v>
      </c>
      <c r="G40" s="171">
        <f>ROUND(G39*E40,2)</f>
        <v>0</v>
      </c>
      <c r="H40" s="171">
        <f>ROUND(H39*E40,2)</f>
        <v>0</v>
      </c>
      <c r="I40" s="171">
        <f>ROUND(I39*E40,2)</f>
        <v>0</v>
      </c>
      <c r="J40" s="171">
        <f>ROUND(J39*E40,2)</f>
        <v>0</v>
      </c>
      <c r="K40" s="171">
        <f>ROUND(K39*E40,2)</f>
        <v>0</v>
      </c>
      <c r="L40" s="172">
        <f>SUM(F40:K40)+CRON1!L40</f>
        <v>0</v>
      </c>
      <c r="M40" s="172">
        <f>L40-E40</f>
        <v>0</v>
      </c>
    </row>
    <row r="41" spans="1:13" ht="12" customHeight="1" x14ac:dyDescent="0.2">
      <c r="A41" s="568"/>
      <c r="B41" s="559"/>
      <c r="C41" s="560"/>
      <c r="D41" s="158" t="s">
        <v>19</v>
      </c>
      <c r="E41" s="168">
        <f>(E42/$E$56)</f>
        <v>0</v>
      </c>
      <c r="F41" s="174"/>
      <c r="G41" s="174"/>
      <c r="H41" s="174"/>
      <c r="I41" s="173"/>
      <c r="J41" s="174"/>
      <c r="K41" s="174"/>
      <c r="L41" s="170">
        <f>SUM(F41:K41)+CRON1!L41</f>
        <v>0</v>
      </c>
      <c r="M41" s="167"/>
    </row>
    <row r="42" spans="1:13" ht="12" customHeight="1" x14ac:dyDescent="0.2">
      <c r="A42" s="569"/>
      <c r="B42" s="561"/>
      <c r="C42" s="562"/>
      <c r="D42" s="159" t="s">
        <v>20</v>
      </c>
      <c r="E42" s="171"/>
      <c r="F42" s="171">
        <f>ROUND(F41*E42,2)</f>
        <v>0</v>
      </c>
      <c r="G42" s="171">
        <f>ROUND(G41*E42,2)</f>
        <v>0</v>
      </c>
      <c r="H42" s="171">
        <f>ROUND(H41*E42,2)</f>
        <v>0</v>
      </c>
      <c r="I42" s="171">
        <f>ROUND(I41*E42,2)</f>
        <v>0</v>
      </c>
      <c r="J42" s="171">
        <f>ROUND(J41*E42,2)</f>
        <v>0</v>
      </c>
      <c r="K42" s="171">
        <f>ROUND(K41*E42,2)</f>
        <v>0</v>
      </c>
      <c r="L42" s="172">
        <f>SUM(F42:K42)+CRON1!L42</f>
        <v>0</v>
      </c>
      <c r="M42" s="172">
        <f>L42-E42</f>
        <v>0</v>
      </c>
    </row>
    <row r="43" spans="1:13" ht="12" customHeight="1" x14ac:dyDescent="0.2">
      <c r="A43" s="566"/>
      <c r="B43" s="559"/>
      <c r="C43" s="560"/>
      <c r="D43" s="156" t="s">
        <v>19</v>
      </c>
      <c r="E43" s="168">
        <f>(E44/$E$56)</f>
        <v>0</v>
      </c>
      <c r="F43" s="174"/>
      <c r="G43" s="174"/>
      <c r="H43" s="174"/>
      <c r="I43" s="173"/>
      <c r="J43" s="174"/>
      <c r="K43" s="174"/>
      <c r="L43" s="170">
        <f>SUM(F43:K43)+CRON1!L43</f>
        <v>0</v>
      </c>
      <c r="M43" s="167"/>
    </row>
    <row r="44" spans="1:13" ht="12" customHeight="1" x14ac:dyDescent="0.2">
      <c r="A44" s="567"/>
      <c r="B44" s="561"/>
      <c r="C44" s="562"/>
      <c r="D44" s="157" t="s">
        <v>20</v>
      </c>
      <c r="E44" s="171"/>
      <c r="F44" s="171">
        <f>ROUND(F43*E44,2)</f>
        <v>0</v>
      </c>
      <c r="G44" s="171">
        <f>ROUND(G43*E44,2)</f>
        <v>0</v>
      </c>
      <c r="H44" s="171">
        <f>ROUND(H43*E44,2)</f>
        <v>0</v>
      </c>
      <c r="I44" s="171">
        <f>ROUND(I43*E44,2)</f>
        <v>0</v>
      </c>
      <c r="J44" s="171">
        <f>ROUND(J43*E44,2)</f>
        <v>0</v>
      </c>
      <c r="K44" s="171">
        <f>ROUND(K43*E44,2)</f>
        <v>0</v>
      </c>
      <c r="L44" s="172">
        <f>SUM(F44:K44)+CRON1!L44</f>
        <v>0</v>
      </c>
      <c r="M44" s="172">
        <f>L44-E44</f>
        <v>0</v>
      </c>
    </row>
    <row r="45" spans="1:13" ht="12" customHeight="1" x14ac:dyDescent="0.2">
      <c r="A45" s="566"/>
      <c r="B45" s="559"/>
      <c r="C45" s="560"/>
      <c r="D45" s="156" t="s">
        <v>19</v>
      </c>
      <c r="E45" s="168">
        <f>(E46/$E$56)</f>
        <v>0</v>
      </c>
      <c r="F45" s="174"/>
      <c r="G45" s="174"/>
      <c r="H45" s="174"/>
      <c r="I45" s="173"/>
      <c r="J45" s="174"/>
      <c r="K45" s="174"/>
      <c r="L45" s="170">
        <f>SUM(F45:K45)+CRON1!L45</f>
        <v>0</v>
      </c>
      <c r="M45" s="167"/>
    </row>
    <row r="46" spans="1:13" ht="12" customHeight="1" x14ac:dyDescent="0.2">
      <c r="A46" s="567"/>
      <c r="B46" s="561"/>
      <c r="C46" s="562"/>
      <c r="D46" s="157" t="s">
        <v>20</v>
      </c>
      <c r="E46" s="171"/>
      <c r="F46" s="171">
        <f>ROUND(F45*E46,2)</f>
        <v>0</v>
      </c>
      <c r="G46" s="171">
        <f>ROUND(G45*E46,2)</f>
        <v>0</v>
      </c>
      <c r="H46" s="171">
        <f>ROUND(H45*E46,2)</f>
        <v>0</v>
      </c>
      <c r="I46" s="171">
        <f>ROUND(I45*E46,2)</f>
        <v>0</v>
      </c>
      <c r="J46" s="171">
        <f>ROUND(J45*E46,2)</f>
        <v>0</v>
      </c>
      <c r="K46" s="171">
        <f>ROUND(K45*E46,2)</f>
        <v>0</v>
      </c>
      <c r="L46" s="172">
        <f>SUM(F46:K46)+CRON1!L46</f>
        <v>0</v>
      </c>
      <c r="M46" s="172">
        <f>L46-E46</f>
        <v>0</v>
      </c>
    </row>
    <row r="47" spans="1:13" ht="12" customHeight="1" x14ac:dyDescent="0.2">
      <c r="A47" s="566"/>
      <c r="B47" s="559"/>
      <c r="C47" s="560"/>
      <c r="D47" s="156" t="s">
        <v>19</v>
      </c>
      <c r="E47" s="168">
        <f>(E48/$E$56)</f>
        <v>0</v>
      </c>
      <c r="F47" s="174"/>
      <c r="G47" s="174"/>
      <c r="H47" s="174"/>
      <c r="I47" s="173"/>
      <c r="J47" s="174"/>
      <c r="K47" s="174"/>
      <c r="L47" s="170">
        <f>SUM(F47:K47)+CRON1!L47</f>
        <v>0</v>
      </c>
      <c r="M47" s="167"/>
    </row>
    <row r="48" spans="1:13" ht="12" customHeight="1" x14ac:dyDescent="0.2">
      <c r="A48" s="567"/>
      <c r="B48" s="561"/>
      <c r="C48" s="562"/>
      <c r="D48" s="157" t="s">
        <v>20</v>
      </c>
      <c r="E48" s="171"/>
      <c r="F48" s="171">
        <f>ROUND(F47*E48,2)</f>
        <v>0</v>
      </c>
      <c r="G48" s="171">
        <f>ROUND(G47*E48,2)</f>
        <v>0</v>
      </c>
      <c r="H48" s="171">
        <f>ROUND(H47*E48,2)</f>
        <v>0</v>
      </c>
      <c r="I48" s="171">
        <f>ROUND(I47*E48,2)</f>
        <v>0</v>
      </c>
      <c r="J48" s="171">
        <f>ROUND(J47*E48,2)</f>
        <v>0</v>
      </c>
      <c r="K48" s="171">
        <f>ROUND(K47*E48,2)</f>
        <v>0</v>
      </c>
      <c r="L48" s="172">
        <f>SUM(F48:K48)+CRON1!L48</f>
        <v>0</v>
      </c>
      <c r="M48" s="172">
        <f>L48-E48</f>
        <v>0</v>
      </c>
    </row>
    <row r="49" spans="1:13" ht="12" customHeight="1" x14ac:dyDescent="0.2">
      <c r="A49" s="566"/>
      <c r="B49" s="559"/>
      <c r="C49" s="560"/>
      <c r="D49" s="156" t="s">
        <v>19</v>
      </c>
      <c r="E49" s="168">
        <f>(E50/$E$56)</f>
        <v>0</v>
      </c>
      <c r="F49" s="174"/>
      <c r="G49" s="174"/>
      <c r="H49" s="174"/>
      <c r="I49" s="173"/>
      <c r="J49" s="174"/>
      <c r="K49" s="174"/>
      <c r="L49" s="170">
        <f>SUM(F49:K49)+CRON1!L49</f>
        <v>0</v>
      </c>
      <c r="M49" s="167"/>
    </row>
    <row r="50" spans="1:13" ht="12" customHeight="1" x14ac:dyDescent="0.2">
      <c r="A50" s="567"/>
      <c r="B50" s="561"/>
      <c r="C50" s="562"/>
      <c r="D50" s="157" t="s">
        <v>20</v>
      </c>
      <c r="E50" s="171"/>
      <c r="F50" s="171">
        <f>ROUND(F49*E50,2)</f>
        <v>0</v>
      </c>
      <c r="G50" s="171">
        <f>ROUND(G49*E50,2)</f>
        <v>0</v>
      </c>
      <c r="H50" s="171">
        <f>ROUND(H49*E50,2)</f>
        <v>0</v>
      </c>
      <c r="I50" s="171">
        <f>ROUND(I49*E50,2)</f>
        <v>0</v>
      </c>
      <c r="J50" s="171">
        <f>ROUND(J49*E50,2)</f>
        <v>0</v>
      </c>
      <c r="K50" s="171">
        <f>ROUND(K49*E50,2)</f>
        <v>0</v>
      </c>
      <c r="L50" s="172">
        <f>SUM(F50:K50)+CRON1!L50</f>
        <v>0</v>
      </c>
      <c r="M50" s="172">
        <f>L50-E50</f>
        <v>0</v>
      </c>
    </row>
    <row r="51" spans="1:13" ht="12" customHeight="1" x14ac:dyDescent="0.2">
      <c r="A51" s="566"/>
      <c r="B51" s="559"/>
      <c r="C51" s="560"/>
      <c r="D51" s="156" t="s">
        <v>19</v>
      </c>
      <c r="E51" s="168">
        <f>(E52/$E$56)</f>
        <v>0</v>
      </c>
      <c r="F51" s="174"/>
      <c r="G51" s="174"/>
      <c r="H51" s="174"/>
      <c r="I51" s="173"/>
      <c r="J51" s="174"/>
      <c r="K51" s="174"/>
      <c r="L51" s="170">
        <f>SUM(F51:K51)+CRON1!L51</f>
        <v>0</v>
      </c>
      <c r="M51" s="167"/>
    </row>
    <row r="52" spans="1:13" ht="12" customHeight="1" x14ac:dyDescent="0.2">
      <c r="A52" s="567"/>
      <c r="B52" s="561"/>
      <c r="C52" s="562"/>
      <c r="D52" s="157" t="s">
        <v>20</v>
      </c>
      <c r="E52" s="171"/>
      <c r="F52" s="171">
        <f>ROUND(F51*E52,2)</f>
        <v>0</v>
      </c>
      <c r="G52" s="171">
        <f>ROUND(G51*E52,2)</f>
        <v>0</v>
      </c>
      <c r="H52" s="171">
        <f>ROUND(H51*E52,2)</f>
        <v>0</v>
      </c>
      <c r="I52" s="171">
        <f>ROUND(I51*E52,2)</f>
        <v>0</v>
      </c>
      <c r="J52" s="171">
        <f>ROUND(J51*E52,2)</f>
        <v>0</v>
      </c>
      <c r="K52" s="171">
        <f>ROUND(K51*E52,2)</f>
        <v>0</v>
      </c>
      <c r="L52" s="172">
        <f>SUM(F52:K52)+CRON1!L52</f>
        <v>0</v>
      </c>
      <c r="M52" s="172">
        <f>L52-E52</f>
        <v>0</v>
      </c>
    </row>
    <row r="53" spans="1:13" ht="12" customHeight="1" x14ac:dyDescent="0.2">
      <c r="A53" s="566"/>
      <c r="B53" s="559"/>
      <c r="C53" s="560"/>
      <c r="D53" s="156" t="s">
        <v>19</v>
      </c>
      <c r="E53" s="168">
        <f>(E54/$E$56)</f>
        <v>0</v>
      </c>
      <c r="F53" s="174"/>
      <c r="G53" s="174"/>
      <c r="H53" s="174"/>
      <c r="I53" s="173"/>
      <c r="J53" s="174"/>
      <c r="K53" s="174"/>
      <c r="L53" s="170">
        <f>SUM(F53:K53)+CRON1!L53</f>
        <v>0</v>
      </c>
      <c r="M53" s="167"/>
    </row>
    <row r="54" spans="1:13" ht="12" customHeight="1" x14ac:dyDescent="0.2">
      <c r="A54" s="567"/>
      <c r="B54" s="561"/>
      <c r="C54" s="562"/>
      <c r="D54" s="157" t="s">
        <v>20</v>
      </c>
      <c r="E54" s="171"/>
      <c r="F54" s="171">
        <f>ROUND(F53*E54,2)</f>
        <v>0</v>
      </c>
      <c r="G54" s="171">
        <f>ROUND(G53*E54,2)</f>
        <v>0</v>
      </c>
      <c r="H54" s="171">
        <f>ROUND(H53*E54,2)</f>
        <v>0</v>
      </c>
      <c r="I54" s="171">
        <f>ROUND(I53*E54,2)</f>
        <v>0</v>
      </c>
      <c r="J54" s="171">
        <f>ROUND(J53*E54,2)</f>
        <v>0</v>
      </c>
      <c r="K54" s="171">
        <f>ROUND(K53*E54,2)</f>
        <v>0</v>
      </c>
      <c r="L54" s="172">
        <f>SUM(F54:K54)+CRON1!L54</f>
        <v>0</v>
      </c>
      <c r="M54" s="172">
        <f>L54-E54</f>
        <v>0</v>
      </c>
    </row>
    <row r="55" spans="1:13" ht="12" customHeight="1" x14ac:dyDescent="0.2">
      <c r="A55" s="577" t="s">
        <v>21</v>
      </c>
      <c r="B55" s="578"/>
      <c r="C55" s="579"/>
      <c r="D55" s="160" t="s">
        <v>19</v>
      </c>
      <c r="E55" s="168">
        <f>E7+E9+E11+E13+E15+E17+E19+E21+E23+E25+E27+E29+E31+E33+E35+E37+E39+E41+E43+E45+E47+E49+E51+E53</f>
        <v>0.99999999999999989</v>
      </c>
      <c r="F55" s="168">
        <f t="shared" ref="F55:K55" si="1">ROUND(F56/$E$56,4)</f>
        <v>0</v>
      </c>
      <c r="G55" s="168">
        <f t="shared" si="1"/>
        <v>0</v>
      </c>
      <c r="H55" s="168">
        <f t="shared" si="1"/>
        <v>0</v>
      </c>
      <c r="I55" s="168">
        <f t="shared" si="1"/>
        <v>0</v>
      </c>
      <c r="J55" s="168">
        <f t="shared" si="1"/>
        <v>0</v>
      </c>
      <c r="K55" s="168">
        <f t="shared" si="1"/>
        <v>0</v>
      </c>
      <c r="L55" s="177">
        <f>F55+G55+H55+I55+J55+K55+CRON1!L55</f>
        <v>1</v>
      </c>
      <c r="M55" s="167"/>
    </row>
    <row r="56" spans="1:13" ht="12" customHeight="1" x14ac:dyDescent="0.2">
      <c r="A56" s="580"/>
      <c r="B56" s="581"/>
      <c r="C56" s="582"/>
      <c r="D56" s="161" t="s">
        <v>20</v>
      </c>
      <c r="E56" s="178">
        <f>E8+E10+E12+E14+E16+E18+E20+E22+E24+E26+E28+E30+E32+E34+E36+E38+E40+E42+E44+E46+E48+E50+E52+E54</f>
        <v>169938.89</v>
      </c>
      <c r="F56" s="178">
        <f t="shared" ref="F56:K56" si="2">F8+F10+F12+F14+F16+F18+F20+F22+F24+F26+F28+F30+F32+F34+F36+F38+F40+F42+F44+F46+F48+F50+F52+F54</f>
        <v>0</v>
      </c>
      <c r="G56" s="178">
        <f t="shared" si="2"/>
        <v>0</v>
      </c>
      <c r="H56" s="178">
        <f t="shared" si="2"/>
        <v>0</v>
      </c>
      <c r="I56" s="178">
        <f t="shared" si="2"/>
        <v>0</v>
      </c>
      <c r="J56" s="178">
        <f t="shared" si="2"/>
        <v>0</v>
      </c>
      <c r="K56" s="178">
        <f t="shared" si="2"/>
        <v>0</v>
      </c>
      <c r="L56" s="179">
        <f>F56+G56+H56+I56+J56+K56+CRON1!L56</f>
        <v>842254.45</v>
      </c>
      <c r="M56" s="172">
        <f>L56-E56</f>
        <v>672315.55999999994</v>
      </c>
    </row>
    <row r="57" spans="1:13" ht="12" customHeight="1" x14ac:dyDescent="0.2">
      <c r="A57" s="180"/>
      <c r="B57" s="181"/>
      <c r="C57" s="181"/>
      <c r="D57" s="181"/>
      <c r="E57" s="181"/>
      <c r="F57" s="181"/>
      <c r="G57" s="181"/>
      <c r="H57" s="182"/>
      <c r="I57" s="182"/>
      <c r="J57" s="182"/>
      <c r="K57" s="183"/>
      <c r="L57" s="167"/>
      <c r="M57" s="167" t="s">
        <v>22</v>
      </c>
    </row>
    <row r="58" spans="1:13" ht="12" customHeight="1" x14ac:dyDescent="0.2">
      <c r="A58" s="184"/>
      <c r="B58" s="209" t="s">
        <v>12</v>
      </c>
      <c r="C58" s="204"/>
      <c r="D58" s="207"/>
      <c r="E58" s="420"/>
      <c r="F58" s="421"/>
      <c r="G58" s="487" t="s">
        <v>11</v>
      </c>
      <c r="H58" s="487"/>
      <c r="I58" s="167"/>
      <c r="J58" s="167"/>
      <c r="K58" s="162"/>
      <c r="L58" s="167"/>
      <c r="M58" s="167"/>
    </row>
    <row r="59" spans="1:13" ht="12" customHeight="1" x14ac:dyDescent="0.2">
      <c r="A59" s="163"/>
      <c r="B59" s="575" t="s">
        <v>23</v>
      </c>
      <c r="C59" s="575"/>
      <c r="D59" s="164"/>
      <c r="G59" s="576" t="s">
        <v>5</v>
      </c>
      <c r="H59" s="576"/>
      <c r="I59" s="167"/>
      <c r="J59" s="167"/>
      <c r="K59" s="162"/>
      <c r="L59" s="167"/>
      <c r="M59" s="167"/>
    </row>
    <row r="60" spans="1:13" ht="12" customHeight="1" x14ac:dyDescent="0.2">
      <c r="A60" s="163"/>
      <c r="B60" s="205"/>
      <c r="C60" s="205"/>
      <c r="D60" s="164"/>
      <c r="E60" s="206"/>
      <c r="F60" s="206"/>
      <c r="G60" s="185"/>
      <c r="H60" s="167"/>
      <c r="I60" s="167"/>
      <c r="J60" s="167"/>
      <c r="K60" s="162"/>
      <c r="L60" s="167"/>
      <c r="M60" s="167"/>
    </row>
    <row r="61" spans="1:13" ht="12" customHeight="1" x14ac:dyDescent="0.2">
      <c r="A61" s="163"/>
      <c r="B61" s="488"/>
      <c r="C61" s="488"/>
      <c r="D61" s="207"/>
      <c r="E61" s="207"/>
      <c r="F61" s="422"/>
      <c r="G61" s="167"/>
      <c r="H61" s="167"/>
      <c r="I61" s="167"/>
      <c r="J61" s="167"/>
      <c r="K61" s="162"/>
      <c r="L61" s="167"/>
      <c r="M61" s="167"/>
    </row>
    <row r="62" spans="1:13" ht="12" customHeight="1" x14ac:dyDescent="0.2">
      <c r="A62" s="165"/>
      <c r="B62" s="594" t="s">
        <v>8</v>
      </c>
      <c r="C62" s="594"/>
      <c r="D62" s="207"/>
      <c r="E62" s="207"/>
      <c r="F62" s="208"/>
      <c r="G62" s="186"/>
      <c r="H62" s="186"/>
      <c r="I62" s="186"/>
      <c r="J62" s="186"/>
      <c r="K62" s="187"/>
      <c r="L62" s="167"/>
      <c r="M62" s="167"/>
    </row>
    <row r="63" spans="1:13" ht="12" customHeight="1" x14ac:dyDescent="0.2"/>
    <row r="64" spans="1:13" ht="12" customHeight="1" x14ac:dyDescent="0.2">
      <c r="E64" s="89">
        <f>PLAN!H84</f>
        <v>842254.45</v>
      </c>
    </row>
    <row r="65" ht="12" customHeight="1" x14ac:dyDescent="0.2"/>
  </sheetData>
  <mergeCells count="61">
    <mergeCell ref="G58:H58"/>
    <mergeCell ref="B59:C59"/>
    <mergeCell ref="G59:H59"/>
    <mergeCell ref="B61:C61"/>
    <mergeCell ref="B62:C62"/>
    <mergeCell ref="A55:C56"/>
    <mergeCell ref="A47:A48"/>
    <mergeCell ref="A49:A50"/>
    <mergeCell ref="A51:A52"/>
    <mergeCell ref="A53:A54"/>
    <mergeCell ref="B47:C48"/>
    <mergeCell ref="B49:C50"/>
    <mergeCell ref="B51:C52"/>
    <mergeCell ref="B53:C54"/>
    <mergeCell ref="A41:A42"/>
    <mergeCell ref="B39:C40"/>
    <mergeCell ref="B41:C42"/>
    <mergeCell ref="A43:A44"/>
    <mergeCell ref="A45:A46"/>
    <mergeCell ref="B43:C44"/>
    <mergeCell ref="B45:C46"/>
    <mergeCell ref="A35:A36"/>
    <mergeCell ref="A37:A38"/>
    <mergeCell ref="B35:C36"/>
    <mergeCell ref="B37:C38"/>
    <mergeCell ref="A39:A40"/>
    <mergeCell ref="A29:A30"/>
    <mergeCell ref="B27:C28"/>
    <mergeCell ref="B29:C30"/>
    <mergeCell ref="A31:A32"/>
    <mergeCell ref="A33:A34"/>
    <mergeCell ref="B31:C32"/>
    <mergeCell ref="B33:C34"/>
    <mergeCell ref="A23:A24"/>
    <mergeCell ref="A25:A26"/>
    <mergeCell ref="B23:C24"/>
    <mergeCell ref="B25:C26"/>
    <mergeCell ref="A27:A28"/>
    <mergeCell ref="A17:A18"/>
    <mergeCell ref="B15:C16"/>
    <mergeCell ref="B17:C18"/>
    <mergeCell ref="A19:A20"/>
    <mergeCell ref="A21:A22"/>
    <mergeCell ref="B19:C20"/>
    <mergeCell ref="B21:C22"/>
    <mergeCell ref="A7:A8"/>
    <mergeCell ref="A9:A10"/>
    <mergeCell ref="A11:A12"/>
    <mergeCell ref="A13:A14"/>
    <mergeCell ref="A15:A16"/>
    <mergeCell ref="A2:K2"/>
    <mergeCell ref="A3:K3"/>
    <mergeCell ref="A4:C4"/>
    <mergeCell ref="I4:K4"/>
    <mergeCell ref="A5:C5"/>
    <mergeCell ref="D5:H5"/>
    <mergeCell ref="B6:C6"/>
    <mergeCell ref="B7:C8"/>
    <mergeCell ref="B9:C10"/>
    <mergeCell ref="B11:C12"/>
    <mergeCell ref="B13:C14"/>
  </mergeCells>
  <printOptions horizontalCentered="1"/>
  <pageMargins left="0.19685039370078741" right="0.19685039370078741" top="0.19685039370078741" bottom="0.19685039370078741" header="0.19685039370078741" footer="0"/>
  <pageSetup paperSize="9" scale="72" orientation="landscape" r:id="rId1"/>
  <headerFooter alignWithMargins="0"/>
  <ignoredErrors>
    <ignoredError sqref="E8 E10 E12 E14 E16 E18 E20 E22 E24 E26 E28" 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07EA2-3EEC-4272-B40F-F3B84A2B06C8}">
  <sheetPr codeName="Planilha12"/>
  <dimension ref="A1:L53"/>
  <sheetViews>
    <sheetView showGridLines="0" showZeros="0" tabSelected="1" view="pageBreakPreview" zoomScaleNormal="100" zoomScaleSheetLayoutView="100" workbookViewId="0">
      <pane xSplit="12" ySplit="4" topLeftCell="M38" activePane="bottomRight" state="frozen"/>
      <selection pane="topRight" activeCell="M1" sqref="M1"/>
      <selection pane="bottomLeft" activeCell="A5" sqref="A5"/>
      <selection pane="bottomRight" activeCell="L50" sqref="A50:L53"/>
    </sheetView>
  </sheetViews>
  <sheetFormatPr defaultColWidth="9.140625" defaultRowHeight="12.75" x14ac:dyDescent="0.2"/>
  <cols>
    <col min="1" max="2" width="13.7109375" style="25" customWidth="1"/>
    <col min="3" max="5" width="13.7109375" style="26" customWidth="1"/>
    <col min="6" max="6" width="13.7109375" style="27" customWidth="1"/>
    <col min="7" max="7" width="13.7109375" style="28" customWidth="1"/>
    <col min="8" max="12" width="13.7109375" style="25" customWidth="1"/>
    <col min="13" max="13" width="4.7109375" style="25" customWidth="1"/>
    <col min="14" max="16384" width="9.140625" style="25"/>
  </cols>
  <sheetData>
    <row r="1" spans="1:12" s="23" customFormat="1" ht="54.6" customHeight="1" x14ac:dyDescent="0.2">
      <c r="A1" s="465"/>
      <c r="B1" s="466"/>
      <c r="C1" s="466"/>
      <c r="D1" s="466"/>
      <c r="E1" s="466"/>
      <c r="F1" s="466"/>
      <c r="G1" s="466"/>
      <c r="H1" s="466"/>
      <c r="I1" s="466"/>
      <c r="J1" s="466"/>
      <c r="K1" s="466"/>
      <c r="L1" s="467"/>
    </row>
    <row r="2" spans="1:12" s="23" customFormat="1" ht="13.9" customHeight="1" x14ac:dyDescent="0.2">
      <c r="A2" s="468" t="s">
        <v>191</v>
      </c>
      <c r="B2" s="469"/>
      <c r="C2" s="469"/>
      <c r="D2" s="469"/>
      <c r="E2" s="469"/>
      <c r="F2" s="469"/>
      <c r="G2" s="469"/>
      <c r="H2" s="469"/>
      <c r="I2" s="469"/>
      <c r="J2" s="469"/>
      <c r="K2" s="469"/>
      <c r="L2" s="470"/>
    </row>
    <row r="3" spans="1:12" s="24" customFormat="1" ht="13.9" customHeight="1" x14ac:dyDescent="0.2">
      <c r="A3" s="482" t="str">
        <f>PLAN!A3</f>
        <v>OBRA: SERVIÇOS DE INFRAESTRUTURA</v>
      </c>
      <c r="B3" s="483"/>
      <c r="C3" s="483"/>
      <c r="D3" s="483"/>
      <c r="E3" s="483"/>
      <c r="F3" s="483"/>
      <c r="G3" s="483"/>
      <c r="H3" s="483"/>
      <c r="I3" s="483"/>
      <c r="J3" s="483"/>
      <c r="K3" s="484"/>
      <c r="L3" s="480" t="str">
        <f>PLAN!H3</f>
        <v>DATA: 21/09/26</v>
      </c>
    </row>
    <row r="4" spans="1:12" s="24" customFormat="1" ht="13.9" customHeight="1" x14ac:dyDescent="0.2">
      <c r="A4" s="485" t="str">
        <f>PLAN!A4</f>
        <v>LOCAL: ÁREAS PÚBLICAS MUNICIPAIS DE SANTA CRUZ DO ESCALVADO (MG)</v>
      </c>
      <c r="B4" s="486"/>
      <c r="C4" s="486"/>
      <c r="D4" s="486"/>
      <c r="E4" s="486"/>
      <c r="F4" s="486"/>
      <c r="G4" s="486"/>
      <c r="H4" s="486"/>
      <c r="I4" s="486"/>
      <c r="J4" s="486"/>
      <c r="K4" s="486"/>
      <c r="L4" s="481"/>
    </row>
    <row r="5" spans="1:12" ht="12" customHeight="1" x14ac:dyDescent="0.2">
      <c r="A5" s="471"/>
      <c r="B5" s="472"/>
      <c r="C5" s="472"/>
      <c r="D5" s="473"/>
      <c r="E5" s="471"/>
      <c r="F5" s="472"/>
      <c r="G5" s="472"/>
      <c r="H5" s="473"/>
      <c r="I5" s="471"/>
      <c r="J5" s="472"/>
      <c r="K5" s="472"/>
      <c r="L5" s="473"/>
    </row>
    <row r="6" spans="1:12" ht="12" customHeight="1" x14ac:dyDescent="0.2">
      <c r="A6" s="474"/>
      <c r="B6" s="475"/>
      <c r="C6" s="475"/>
      <c r="D6" s="476"/>
      <c r="E6" s="474"/>
      <c r="F6" s="475"/>
      <c r="G6" s="475"/>
      <c r="H6" s="476"/>
      <c r="I6" s="474"/>
      <c r="J6" s="475"/>
      <c r="K6" s="475"/>
      <c r="L6" s="476"/>
    </row>
    <row r="7" spans="1:12" ht="12" customHeight="1" x14ac:dyDescent="0.2">
      <c r="A7" s="474"/>
      <c r="B7" s="475"/>
      <c r="C7" s="475"/>
      <c r="D7" s="476"/>
      <c r="E7" s="474"/>
      <c r="F7" s="475"/>
      <c r="G7" s="475"/>
      <c r="H7" s="476"/>
      <c r="I7" s="474"/>
      <c r="J7" s="475"/>
      <c r="K7" s="475"/>
      <c r="L7" s="476"/>
    </row>
    <row r="8" spans="1:12" ht="12" customHeight="1" x14ac:dyDescent="0.2">
      <c r="A8" s="474"/>
      <c r="B8" s="475"/>
      <c r="C8" s="475"/>
      <c r="D8" s="476"/>
      <c r="E8" s="474"/>
      <c r="F8" s="475"/>
      <c r="G8" s="475"/>
      <c r="H8" s="476"/>
      <c r="I8" s="474"/>
      <c r="J8" s="475"/>
      <c r="K8" s="475"/>
      <c r="L8" s="476"/>
    </row>
    <row r="9" spans="1:12" ht="12" customHeight="1" x14ac:dyDescent="0.2">
      <c r="A9" s="474"/>
      <c r="B9" s="475"/>
      <c r="C9" s="475"/>
      <c r="D9" s="476"/>
      <c r="E9" s="474"/>
      <c r="F9" s="475"/>
      <c r="G9" s="475"/>
      <c r="H9" s="476"/>
      <c r="I9" s="474"/>
      <c r="J9" s="475"/>
      <c r="K9" s="475"/>
      <c r="L9" s="476"/>
    </row>
    <row r="10" spans="1:12" ht="12" customHeight="1" x14ac:dyDescent="0.2">
      <c r="A10" s="474"/>
      <c r="B10" s="475"/>
      <c r="C10" s="475"/>
      <c r="D10" s="476"/>
      <c r="E10" s="474"/>
      <c r="F10" s="475"/>
      <c r="G10" s="475"/>
      <c r="H10" s="476"/>
      <c r="I10" s="474"/>
      <c r="J10" s="475"/>
      <c r="K10" s="475"/>
      <c r="L10" s="476"/>
    </row>
    <row r="11" spans="1:12" ht="12" customHeight="1" x14ac:dyDescent="0.2">
      <c r="A11" s="474"/>
      <c r="B11" s="475"/>
      <c r="C11" s="475"/>
      <c r="D11" s="476"/>
      <c r="E11" s="474"/>
      <c r="F11" s="475"/>
      <c r="G11" s="475"/>
      <c r="H11" s="476"/>
      <c r="I11" s="474"/>
      <c r="J11" s="475"/>
      <c r="K11" s="475"/>
      <c r="L11" s="476"/>
    </row>
    <row r="12" spans="1:12" ht="12" customHeight="1" x14ac:dyDescent="0.2">
      <c r="A12" s="474"/>
      <c r="B12" s="475"/>
      <c r="C12" s="475"/>
      <c r="D12" s="476"/>
      <c r="E12" s="474"/>
      <c r="F12" s="475"/>
      <c r="G12" s="475"/>
      <c r="H12" s="476"/>
      <c r="I12" s="474"/>
      <c r="J12" s="475"/>
      <c r="K12" s="475"/>
      <c r="L12" s="476"/>
    </row>
    <row r="13" spans="1:12" ht="12" customHeight="1" x14ac:dyDescent="0.2">
      <c r="A13" s="474"/>
      <c r="B13" s="475"/>
      <c r="C13" s="475"/>
      <c r="D13" s="476"/>
      <c r="E13" s="474"/>
      <c r="F13" s="475"/>
      <c r="G13" s="475"/>
      <c r="H13" s="476"/>
      <c r="I13" s="474"/>
      <c r="J13" s="475"/>
      <c r="K13" s="475"/>
      <c r="L13" s="476"/>
    </row>
    <row r="14" spans="1:12" ht="12" customHeight="1" x14ac:dyDescent="0.2">
      <c r="A14" s="474"/>
      <c r="B14" s="475"/>
      <c r="C14" s="475"/>
      <c r="D14" s="476"/>
      <c r="E14" s="474"/>
      <c r="F14" s="475"/>
      <c r="G14" s="475"/>
      <c r="H14" s="476"/>
      <c r="I14" s="474"/>
      <c r="J14" s="475"/>
      <c r="K14" s="475"/>
      <c r="L14" s="476"/>
    </row>
    <row r="15" spans="1:12" ht="12" customHeight="1" x14ac:dyDescent="0.2">
      <c r="A15" s="474"/>
      <c r="B15" s="475"/>
      <c r="C15" s="475"/>
      <c r="D15" s="476"/>
      <c r="E15" s="474"/>
      <c r="F15" s="475"/>
      <c r="G15" s="475"/>
      <c r="H15" s="476"/>
      <c r="I15" s="474"/>
      <c r="J15" s="475"/>
      <c r="K15" s="475"/>
      <c r="L15" s="476"/>
    </row>
    <row r="16" spans="1:12" ht="12" customHeight="1" x14ac:dyDescent="0.2">
      <c r="A16" s="474"/>
      <c r="B16" s="475"/>
      <c r="C16" s="475"/>
      <c r="D16" s="476"/>
      <c r="E16" s="474"/>
      <c r="F16" s="475"/>
      <c r="G16" s="475"/>
      <c r="H16" s="476"/>
      <c r="I16" s="474"/>
      <c r="J16" s="475"/>
      <c r="K16" s="475"/>
      <c r="L16" s="476"/>
    </row>
    <row r="17" spans="1:12" ht="12" customHeight="1" x14ac:dyDescent="0.2">
      <c r="A17" s="474"/>
      <c r="B17" s="475"/>
      <c r="C17" s="475"/>
      <c r="D17" s="476"/>
      <c r="E17" s="474"/>
      <c r="F17" s="475"/>
      <c r="G17" s="475"/>
      <c r="H17" s="476"/>
      <c r="I17" s="474"/>
      <c r="J17" s="475"/>
      <c r="K17" s="475"/>
      <c r="L17" s="476"/>
    </row>
    <row r="18" spans="1:12" ht="12" customHeight="1" x14ac:dyDescent="0.2">
      <c r="A18" s="474"/>
      <c r="B18" s="475"/>
      <c r="C18" s="475"/>
      <c r="D18" s="476"/>
      <c r="E18" s="474"/>
      <c r="F18" s="475"/>
      <c r="G18" s="475"/>
      <c r="H18" s="476"/>
      <c r="I18" s="474"/>
      <c r="J18" s="475"/>
      <c r="K18" s="475"/>
      <c r="L18" s="476"/>
    </row>
    <row r="19" spans="1:12" ht="12" customHeight="1" x14ac:dyDescent="0.2">
      <c r="A19" s="477"/>
      <c r="B19" s="478"/>
      <c r="C19" s="478"/>
      <c r="D19" s="479"/>
      <c r="E19" s="477"/>
      <c r="F19" s="478"/>
      <c r="G19" s="478"/>
      <c r="H19" s="479"/>
      <c r="I19" s="477"/>
      <c r="J19" s="478"/>
      <c r="K19" s="478"/>
      <c r="L19" s="479"/>
    </row>
    <row r="20" spans="1:12" ht="12" customHeight="1" x14ac:dyDescent="0.2">
      <c r="A20" s="471"/>
      <c r="B20" s="472"/>
      <c r="C20" s="472"/>
      <c r="D20" s="473"/>
      <c r="E20" s="471"/>
      <c r="F20" s="472"/>
      <c r="G20" s="472"/>
      <c r="H20" s="473"/>
      <c r="I20" s="471"/>
      <c r="J20" s="472"/>
      <c r="K20" s="472"/>
      <c r="L20" s="473"/>
    </row>
    <row r="21" spans="1:12" ht="12" customHeight="1" x14ac:dyDescent="0.2">
      <c r="A21" s="474"/>
      <c r="B21" s="475"/>
      <c r="C21" s="475"/>
      <c r="D21" s="476"/>
      <c r="E21" s="474"/>
      <c r="F21" s="475"/>
      <c r="G21" s="475"/>
      <c r="H21" s="476"/>
      <c r="I21" s="474"/>
      <c r="J21" s="475"/>
      <c r="K21" s="475"/>
      <c r="L21" s="476"/>
    </row>
    <row r="22" spans="1:12" ht="12" customHeight="1" x14ac:dyDescent="0.2">
      <c r="A22" s="474"/>
      <c r="B22" s="475"/>
      <c r="C22" s="475"/>
      <c r="D22" s="476"/>
      <c r="E22" s="474"/>
      <c r="F22" s="475"/>
      <c r="G22" s="475"/>
      <c r="H22" s="476"/>
      <c r="I22" s="474"/>
      <c r="J22" s="475"/>
      <c r="K22" s="475"/>
      <c r="L22" s="476"/>
    </row>
    <row r="23" spans="1:12" ht="12" customHeight="1" x14ac:dyDescent="0.2">
      <c r="A23" s="474"/>
      <c r="B23" s="475"/>
      <c r="C23" s="475"/>
      <c r="D23" s="476"/>
      <c r="E23" s="474"/>
      <c r="F23" s="475"/>
      <c r="G23" s="475"/>
      <c r="H23" s="476"/>
      <c r="I23" s="474"/>
      <c r="J23" s="475"/>
      <c r="K23" s="475"/>
      <c r="L23" s="476"/>
    </row>
    <row r="24" spans="1:12" ht="12" customHeight="1" x14ac:dyDescent="0.2">
      <c r="A24" s="474"/>
      <c r="B24" s="475"/>
      <c r="C24" s="475"/>
      <c r="D24" s="476"/>
      <c r="E24" s="474"/>
      <c r="F24" s="475"/>
      <c r="G24" s="475"/>
      <c r="H24" s="476"/>
      <c r="I24" s="474"/>
      <c r="J24" s="475"/>
      <c r="K24" s="475"/>
      <c r="L24" s="476"/>
    </row>
    <row r="25" spans="1:12" ht="12" customHeight="1" x14ac:dyDescent="0.2">
      <c r="A25" s="474"/>
      <c r="B25" s="475"/>
      <c r="C25" s="475"/>
      <c r="D25" s="476"/>
      <c r="E25" s="474"/>
      <c r="F25" s="475"/>
      <c r="G25" s="475"/>
      <c r="H25" s="476"/>
      <c r="I25" s="474"/>
      <c r="J25" s="475"/>
      <c r="K25" s="475"/>
      <c r="L25" s="476"/>
    </row>
    <row r="26" spans="1:12" ht="12" customHeight="1" x14ac:dyDescent="0.2">
      <c r="A26" s="474"/>
      <c r="B26" s="475"/>
      <c r="C26" s="475"/>
      <c r="D26" s="476"/>
      <c r="E26" s="474"/>
      <c r="F26" s="475"/>
      <c r="G26" s="475"/>
      <c r="H26" s="476"/>
      <c r="I26" s="474"/>
      <c r="J26" s="475"/>
      <c r="K26" s="475"/>
      <c r="L26" s="476"/>
    </row>
    <row r="27" spans="1:12" ht="12" customHeight="1" x14ac:dyDescent="0.2">
      <c r="A27" s="474"/>
      <c r="B27" s="475"/>
      <c r="C27" s="475"/>
      <c r="D27" s="476"/>
      <c r="E27" s="474"/>
      <c r="F27" s="475"/>
      <c r="G27" s="475"/>
      <c r="H27" s="476"/>
      <c r="I27" s="474"/>
      <c r="J27" s="475"/>
      <c r="K27" s="475"/>
      <c r="L27" s="476"/>
    </row>
    <row r="28" spans="1:12" ht="12" customHeight="1" x14ac:dyDescent="0.2">
      <c r="A28" s="474"/>
      <c r="B28" s="475"/>
      <c r="C28" s="475"/>
      <c r="D28" s="476"/>
      <c r="E28" s="474"/>
      <c r="F28" s="475"/>
      <c r="G28" s="475"/>
      <c r="H28" s="476"/>
      <c r="I28" s="474"/>
      <c r="J28" s="475"/>
      <c r="K28" s="475"/>
      <c r="L28" s="476"/>
    </row>
    <row r="29" spans="1:12" ht="12" customHeight="1" x14ac:dyDescent="0.2">
      <c r="A29" s="474"/>
      <c r="B29" s="475"/>
      <c r="C29" s="475"/>
      <c r="D29" s="476"/>
      <c r="E29" s="474"/>
      <c r="F29" s="475"/>
      <c r="G29" s="475"/>
      <c r="H29" s="476"/>
      <c r="I29" s="474"/>
      <c r="J29" s="475"/>
      <c r="K29" s="475"/>
      <c r="L29" s="476"/>
    </row>
    <row r="30" spans="1:12" ht="12" customHeight="1" x14ac:dyDescent="0.2">
      <c r="A30" s="474"/>
      <c r="B30" s="475"/>
      <c r="C30" s="475"/>
      <c r="D30" s="476"/>
      <c r="E30" s="474"/>
      <c r="F30" s="475"/>
      <c r="G30" s="475"/>
      <c r="H30" s="476"/>
      <c r="I30" s="474"/>
      <c r="J30" s="475"/>
      <c r="K30" s="475"/>
      <c r="L30" s="476"/>
    </row>
    <row r="31" spans="1:12" ht="12" customHeight="1" x14ac:dyDescent="0.2">
      <c r="A31" s="474"/>
      <c r="B31" s="475"/>
      <c r="C31" s="475"/>
      <c r="D31" s="476"/>
      <c r="E31" s="474"/>
      <c r="F31" s="475"/>
      <c r="G31" s="475"/>
      <c r="H31" s="476"/>
      <c r="I31" s="474"/>
      <c r="J31" s="475"/>
      <c r="K31" s="475"/>
      <c r="L31" s="476"/>
    </row>
    <row r="32" spans="1:12" ht="12" customHeight="1" x14ac:dyDescent="0.2">
      <c r="A32" s="474"/>
      <c r="B32" s="475"/>
      <c r="C32" s="475"/>
      <c r="D32" s="476"/>
      <c r="E32" s="474"/>
      <c r="F32" s="475"/>
      <c r="G32" s="475"/>
      <c r="H32" s="476"/>
      <c r="I32" s="474"/>
      <c r="J32" s="475"/>
      <c r="K32" s="475"/>
      <c r="L32" s="476"/>
    </row>
    <row r="33" spans="1:12" ht="12" customHeight="1" x14ac:dyDescent="0.2">
      <c r="A33" s="474"/>
      <c r="B33" s="475"/>
      <c r="C33" s="475"/>
      <c r="D33" s="476"/>
      <c r="E33" s="474"/>
      <c r="F33" s="475"/>
      <c r="G33" s="475"/>
      <c r="H33" s="476"/>
      <c r="I33" s="474"/>
      <c r="J33" s="475"/>
      <c r="K33" s="475"/>
      <c r="L33" s="476"/>
    </row>
    <row r="34" spans="1:12" ht="12" customHeight="1" x14ac:dyDescent="0.2">
      <c r="A34" s="477"/>
      <c r="B34" s="478"/>
      <c r="C34" s="478"/>
      <c r="D34" s="479"/>
      <c r="E34" s="477"/>
      <c r="F34" s="478"/>
      <c r="G34" s="478"/>
      <c r="H34" s="479"/>
      <c r="I34" s="477"/>
      <c r="J34" s="478"/>
      <c r="K34" s="478"/>
      <c r="L34" s="479"/>
    </row>
    <row r="35" spans="1:12" ht="12" customHeight="1" x14ac:dyDescent="0.2">
      <c r="A35" s="471"/>
      <c r="B35" s="472"/>
      <c r="C35" s="472"/>
      <c r="D35" s="473"/>
      <c r="E35" s="471"/>
      <c r="F35" s="472"/>
      <c r="G35" s="472"/>
      <c r="H35" s="473"/>
      <c r="I35" s="471"/>
      <c r="J35" s="472"/>
      <c r="K35" s="472"/>
      <c r="L35" s="473"/>
    </row>
    <row r="36" spans="1:12" ht="12" customHeight="1" x14ac:dyDescent="0.2">
      <c r="A36" s="474"/>
      <c r="B36" s="475"/>
      <c r="C36" s="475"/>
      <c r="D36" s="476"/>
      <c r="E36" s="474"/>
      <c r="F36" s="475"/>
      <c r="G36" s="475"/>
      <c r="H36" s="476"/>
      <c r="I36" s="474"/>
      <c r="J36" s="475"/>
      <c r="K36" s="475"/>
      <c r="L36" s="476"/>
    </row>
    <row r="37" spans="1:12" ht="12" customHeight="1" x14ac:dyDescent="0.2">
      <c r="A37" s="474"/>
      <c r="B37" s="475"/>
      <c r="C37" s="475"/>
      <c r="D37" s="476"/>
      <c r="E37" s="474"/>
      <c r="F37" s="475"/>
      <c r="G37" s="475"/>
      <c r="H37" s="476"/>
      <c r="I37" s="474"/>
      <c r="J37" s="475"/>
      <c r="K37" s="475"/>
      <c r="L37" s="476"/>
    </row>
    <row r="38" spans="1:12" ht="12" customHeight="1" x14ac:dyDescent="0.2">
      <c r="A38" s="474"/>
      <c r="B38" s="475"/>
      <c r="C38" s="475"/>
      <c r="D38" s="476"/>
      <c r="E38" s="474"/>
      <c r="F38" s="475"/>
      <c r="G38" s="475"/>
      <c r="H38" s="476"/>
      <c r="I38" s="474"/>
      <c r="J38" s="475"/>
      <c r="K38" s="475"/>
      <c r="L38" s="476"/>
    </row>
    <row r="39" spans="1:12" ht="12" customHeight="1" x14ac:dyDescent="0.2">
      <c r="A39" s="474"/>
      <c r="B39" s="475"/>
      <c r="C39" s="475"/>
      <c r="D39" s="476"/>
      <c r="E39" s="474"/>
      <c r="F39" s="475"/>
      <c r="G39" s="475"/>
      <c r="H39" s="476"/>
      <c r="I39" s="474"/>
      <c r="J39" s="475"/>
      <c r="K39" s="475"/>
      <c r="L39" s="476"/>
    </row>
    <row r="40" spans="1:12" ht="12" customHeight="1" x14ac:dyDescent="0.2">
      <c r="A40" s="474"/>
      <c r="B40" s="475"/>
      <c r="C40" s="475"/>
      <c r="D40" s="476"/>
      <c r="E40" s="474"/>
      <c r="F40" s="475"/>
      <c r="G40" s="475"/>
      <c r="H40" s="476"/>
      <c r="I40" s="474"/>
      <c r="J40" s="475"/>
      <c r="K40" s="475"/>
      <c r="L40" s="476"/>
    </row>
    <row r="41" spans="1:12" ht="12" customHeight="1" x14ac:dyDescent="0.2">
      <c r="A41" s="474"/>
      <c r="B41" s="475"/>
      <c r="C41" s="475"/>
      <c r="D41" s="476"/>
      <c r="E41" s="474"/>
      <c r="F41" s="475"/>
      <c r="G41" s="475"/>
      <c r="H41" s="476"/>
      <c r="I41" s="474"/>
      <c r="J41" s="475"/>
      <c r="K41" s="475"/>
      <c r="L41" s="476"/>
    </row>
    <row r="42" spans="1:12" ht="12" customHeight="1" x14ac:dyDescent="0.2">
      <c r="A42" s="474"/>
      <c r="B42" s="475"/>
      <c r="C42" s="475"/>
      <c r="D42" s="476"/>
      <c r="E42" s="474"/>
      <c r="F42" s="475"/>
      <c r="G42" s="475"/>
      <c r="H42" s="476"/>
      <c r="I42" s="474"/>
      <c r="J42" s="475"/>
      <c r="K42" s="475"/>
      <c r="L42" s="476"/>
    </row>
    <row r="43" spans="1:12" ht="12" customHeight="1" x14ac:dyDescent="0.2">
      <c r="A43" s="474"/>
      <c r="B43" s="475"/>
      <c r="C43" s="475"/>
      <c r="D43" s="476"/>
      <c r="E43" s="474"/>
      <c r="F43" s="475"/>
      <c r="G43" s="475"/>
      <c r="H43" s="476"/>
      <c r="I43" s="474"/>
      <c r="J43" s="475"/>
      <c r="K43" s="475"/>
      <c r="L43" s="476"/>
    </row>
    <row r="44" spans="1:12" ht="12" customHeight="1" x14ac:dyDescent="0.2">
      <c r="A44" s="474"/>
      <c r="B44" s="475"/>
      <c r="C44" s="475"/>
      <c r="D44" s="476"/>
      <c r="E44" s="474"/>
      <c r="F44" s="475"/>
      <c r="G44" s="475"/>
      <c r="H44" s="476"/>
      <c r="I44" s="474"/>
      <c r="J44" s="475"/>
      <c r="K44" s="475"/>
      <c r="L44" s="476"/>
    </row>
    <row r="45" spans="1:12" ht="12" customHeight="1" x14ac:dyDescent="0.2">
      <c r="A45" s="474"/>
      <c r="B45" s="475"/>
      <c r="C45" s="475"/>
      <c r="D45" s="476"/>
      <c r="E45" s="474"/>
      <c r="F45" s="475"/>
      <c r="G45" s="475"/>
      <c r="H45" s="476"/>
      <c r="I45" s="474"/>
      <c r="J45" s="475"/>
      <c r="K45" s="475"/>
      <c r="L45" s="476"/>
    </row>
    <row r="46" spans="1:12" ht="12" customHeight="1" x14ac:dyDescent="0.2">
      <c r="A46" s="474"/>
      <c r="B46" s="475"/>
      <c r="C46" s="475"/>
      <c r="D46" s="476"/>
      <c r="E46" s="474"/>
      <c r="F46" s="475"/>
      <c r="G46" s="475"/>
      <c r="H46" s="476"/>
      <c r="I46" s="474"/>
      <c r="J46" s="475"/>
      <c r="K46" s="475"/>
      <c r="L46" s="476"/>
    </row>
    <row r="47" spans="1:12" ht="12" customHeight="1" x14ac:dyDescent="0.2">
      <c r="A47" s="474"/>
      <c r="B47" s="475"/>
      <c r="C47" s="475"/>
      <c r="D47" s="476"/>
      <c r="E47" s="474"/>
      <c r="F47" s="475"/>
      <c r="G47" s="475"/>
      <c r="H47" s="476"/>
      <c r="I47" s="474"/>
      <c r="J47" s="475"/>
      <c r="K47" s="475"/>
      <c r="L47" s="476"/>
    </row>
    <row r="48" spans="1:12" ht="12" customHeight="1" x14ac:dyDescent="0.2">
      <c r="A48" s="474"/>
      <c r="B48" s="475"/>
      <c r="C48" s="475"/>
      <c r="D48" s="476"/>
      <c r="E48" s="474"/>
      <c r="F48" s="475"/>
      <c r="G48" s="475"/>
      <c r="H48" s="476"/>
      <c r="I48" s="474"/>
      <c r="J48" s="475"/>
      <c r="K48" s="475"/>
      <c r="L48" s="476"/>
    </row>
    <row r="49" spans="1:12" ht="12" customHeight="1" x14ac:dyDescent="0.2">
      <c r="A49" s="477"/>
      <c r="B49" s="478"/>
      <c r="C49" s="478"/>
      <c r="D49" s="479"/>
      <c r="E49" s="477"/>
      <c r="F49" s="478"/>
      <c r="G49" s="478"/>
      <c r="H49" s="479"/>
      <c r="I49" s="477"/>
      <c r="J49" s="478"/>
      <c r="K49" s="478"/>
      <c r="L49" s="479"/>
    </row>
    <row r="50" spans="1:12" ht="12" customHeight="1" x14ac:dyDescent="0.2">
      <c r="A50" s="457"/>
      <c r="B50" s="458"/>
      <c r="C50" s="458"/>
      <c r="D50" s="458"/>
      <c r="E50" s="458"/>
      <c r="F50" s="458"/>
      <c r="G50" s="458"/>
      <c r="H50" s="459"/>
      <c r="I50" s="459"/>
      <c r="J50" s="459"/>
      <c r="K50" s="459"/>
      <c r="L50" s="460"/>
    </row>
    <row r="51" spans="1:12" s="24" customFormat="1" ht="12" customHeight="1" x14ac:dyDescent="0.2">
      <c r="A51" s="188"/>
      <c r="B51" s="461"/>
      <c r="C51" s="461"/>
      <c r="D51" s="461"/>
      <c r="E51" s="461"/>
      <c r="F51" s="461"/>
      <c r="G51" s="461"/>
      <c r="H51" s="191"/>
      <c r="I51" s="191"/>
      <c r="J51" s="189"/>
      <c r="K51" s="190"/>
      <c r="L51" s="280"/>
    </row>
    <row r="52" spans="1:12" s="24" customFormat="1" ht="12" customHeight="1" x14ac:dyDescent="0.2">
      <c r="A52" s="188"/>
      <c r="B52" s="462"/>
      <c r="C52" s="209" t="s">
        <v>12</v>
      </c>
      <c r="D52" s="204"/>
      <c r="E52" s="164"/>
      <c r="H52" s="487" t="s">
        <v>118</v>
      </c>
      <c r="I52" s="487"/>
      <c r="J52" s="189"/>
      <c r="K52" s="192"/>
      <c r="L52" s="280"/>
    </row>
    <row r="53" spans="1:12" s="24" customFormat="1" ht="12" customHeight="1" x14ac:dyDescent="0.2">
      <c r="A53" s="193"/>
      <c r="B53" s="392"/>
      <c r="C53" s="463" t="s">
        <v>23</v>
      </c>
      <c r="D53" s="463"/>
      <c r="E53" s="207"/>
      <c r="F53" s="464"/>
      <c r="G53" s="464"/>
      <c r="H53" s="488" t="s">
        <v>5</v>
      </c>
      <c r="I53" s="488"/>
      <c r="J53" s="194"/>
      <c r="K53" s="195"/>
      <c r="L53" s="281"/>
    </row>
  </sheetData>
  <mergeCells count="16">
    <mergeCell ref="A20:D34"/>
    <mergeCell ref="E20:H34"/>
    <mergeCell ref="I20:L34"/>
    <mergeCell ref="H52:I52"/>
    <mergeCell ref="H53:I53"/>
    <mergeCell ref="A35:D49"/>
    <mergeCell ref="E35:H49"/>
    <mergeCell ref="I35:L49"/>
    <mergeCell ref="A1:L1"/>
    <mergeCell ref="A2:L2"/>
    <mergeCell ref="A5:D19"/>
    <mergeCell ref="E5:H19"/>
    <mergeCell ref="I5:L19"/>
    <mergeCell ref="L3:L4"/>
    <mergeCell ref="A3:K3"/>
    <mergeCell ref="A4:K4"/>
  </mergeCells>
  <printOptions horizontalCentered="1"/>
  <pageMargins left="0.19685039370078741" right="0.19685039370078741" top="0.19685039370078741" bottom="0.19685039370078741" header="0" footer="0"/>
  <pageSetup paperSize="9" scale="85" orientation="landscape" horizontalDpi="400" verticalDpi="400" r:id="rId1"/>
  <headerFooter alignWithMargins="0">
    <oddFooter>&amp;CFolha &amp;P de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2529" r:id="rId4" name="Button 1">
              <controlPr defaultSize="0" print="0" autoFill="0" autoPict="0" macro="[0]!ImportarFoto">
                <anchor moveWithCells="1">
                  <from>
                    <xdr:col>0</xdr:col>
                    <xdr:colOff>409575</xdr:colOff>
                    <xdr:row>50</xdr:row>
                    <xdr:rowOff>57150</xdr:rowOff>
                  </from>
                  <to>
                    <xdr:col>1</xdr:col>
                    <xdr:colOff>542925</xdr:colOff>
                    <xdr:row>52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48197-786B-4E81-A716-50E913DE2F07}">
  <sheetPr codeName="Planilha1">
    <pageSetUpPr fitToPage="1"/>
  </sheetPr>
  <dimension ref="A1:M81"/>
  <sheetViews>
    <sheetView showGridLines="0" view="pageBreakPreview" topLeftCell="A13" zoomScaleNormal="100" zoomScaleSheetLayoutView="100" workbookViewId="0">
      <selection activeCell="B8" sqref="B8:E8"/>
    </sheetView>
  </sheetViews>
  <sheetFormatPr defaultColWidth="9.140625" defaultRowHeight="12.75" x14ac:dyDescent="0.2"/>
  <cols>
    <col min="1" max="1" width="36.28515625" style="39" customWidth="1"/>
    <col min="2" max="2" width="15.28515625" style="39" bestFit="1" customWidth="1"/>
    <col min="3" max="3" width="14.5703125" style="39" customWidth="1"/>
    <col min="4" max="4" width="15.42578125" style="39" customWidth="1"/>
    <col min="5" max="5" width="18.42578125" style="39" bestFit="1" customWidth="1"/>
    <col min="6" max="6" width="9" style="39" bestFit="1" customWidth="1"/>
    <col min="7" max="7" width="11" style="39" customWidth="1"/>
    <col min="8" max="16384" width="9.140625" style="39"/>
  </cols>
  <sheetData>
    <row r="1" spans="1:11" s="30" customFormat="1" ht="56.25" customHeight="1" x14ac:dyDescent="0.2">
      <c r="A1" s="616"/>
      <c r="B1" s="616"/>
      <c r="C1" s="616"/>
      <c r="D1" s="616"/>
      <c r="E1" s="616"/>
    </row>
    <row r="2" spans="1:11" s="30" customFormat="1" ht="15.75" x14ac:dyDescent="0.2">
      <c r="A2" s="31"/>
      <c r="B2" s="31"/>
      <c r="C2" s="31"/>
      <c r="D2" s="31"/>
      <c r="E2" s="31"/>
    </row>
    <row r="3" spans="1:11" s="33" customFormat="1" ht="15.75" x14ac:dyDescent="0.2">
      <c r="A3" s="617" t="s">
        <v>55</v>
      </c>
      <c r="B3" s="617"/>
      <c r="C3" s="617"/>
      <c r="D3" s="617"/>
      <c r="E3" s="617"/>
    </row>
    <row r="4" spans="1:11" s="33" customFormat="1" ht="9" customHeight="1" x14ac:dyDescent="0.2">
      <c r="A4" s="32"/>
      <c r="B4" s="32"/>
      <c r="C4" s="32"/>
      <c r="D4" s="32"/>
      <c r="E4" s="32"/>
    </row>
    <row r="5" spans="1:11" s="36" customFormat="1" ht="15.75" customHeight="1" x14ac:dyDescent="0.2">
      <c r="A5" s="34" t="s">
        <v>56</v>
      </c>
      <c r="B5" s="618"/>
      <c r="C5" s="618"/>
      <c r="D5" s="618"/>
      <c r="E5" s="618"/>
      <c r="F5" s="35"/>
      <c r="G5" s="35"/>
      <c r="H5" s="35"/>
      <c r="I5" s="35"/>
      <c r="J5" s="35"/>
      <c r="K5" s="35"/>
    </row>
    <row r="6" spans="1:11" s="36" customFormat="1" ht="15.75" customHeight="1" x14ac:dyDescent="0.2">
      <c r="A6" s="34" t="s">
        <v>57</v>
      </c>
      <c r="B6" s="618"/>
      <c r="C6" s="618"/>
      <c r="D6" s="618"/>
      <c r="E6" s="618"/>
      <c r="F6" s="35"/>
      <c r="G6" s="35"/>
      <c r="H6" s="35"/>
      <c r="I6" s="35"/>
      <c r="J6" s="35"/>
      <c r="K6" s="35"/>
    </row>
    <row r="7" spans="1:11" s="36" customFormat="1" ht="76.5" customHeight="1" x14ac:dyDescent="0.2">
      <c r="A7" s="34" t="s">
        <v>58</v>
      </c>
      <c r="B7" s="607" t="str">
        <f>PLAN!A3</f>
        <v>OBRA: SERVIÇOS DE INFRAESTRUTURA</v>
      </c>
      <c r="C7" s="607"/>
      <c r="D7" s="607"/>
      <c r="E7" s="607"/>
      <c r="F7" s="35"/>
      <c r="G7" s="35"/>
      <c r="H7" s="35"/>
      <c r="I7" s="35"/>
      <c r="J7" s="35"/>
      <c r="K7" s="35"/>
    </row>
    <row r="8" spans="1:11" s="36" customFormat="1" ht="33" customHeight="1" x14ac:dyDescent="0.2">
      <c r="A8" s="34" t="s">
        <v>59</v>
      </c>
      <c r="B8" s="607" t="s">
        <v>60</v>
      </c>
      <c r="C8" s="607"/>
      <c r="D8" s="607"/>
      <c r="E8" s="607"/>
      <c r="F8" s="35" t="str">
        <f>IF(B8&lt;&gt;"","OK","PREENCHER")</f>
        <v>OK</v>
      </c>
      <c r="G8" s="35"/>
      <c r="H8" s="35"/>
      <c r="I8" s="35"/>
      <c r="J8" s="35"/>
      <c r="K8" s="35"/>
    </row>
    <row r="9" spans="1:11" s="36" customFormat="1" ht="33" customHeight="1" x14ac:dyDescent="0.2">
      <c r="A9" s="34" t="s">
        <v>61</v>
      </c>
      <c r="B9" s="608">
        <v>0.6</v>
      </c>
      <c r="C9" s="608"/>
      <c r="D9" s="608"/>
      <c r="E9" s="608"/>
      <c r="F9" s="35" t="str">
        <f>IF(B9&lt;&gt;"","OK","PREENCHER")</f>
        <v>OK</v>
      </c>
      <c r="G9" s="37"/>
      <c r="H9" s="35"/>
      <c r="I9" s="35"/>
      <c r="J9" s="35"/>
      <c r="K9" s="35"/>
    </row>
    <row r="10" spans="1:11" s="36" customFormat="1" ht="19.5" customHeight="1" x14ac:dyDescent="0.2">
      <c r="A10" s="34" t="s">
        <v>62</v>
      </c>
      <c r="B10" s="607" t="s">
        <v>93</v>
      </c>
      <c r="C10" s="607"/>
      <c r="D10" s="607"/>
      <c r="E10" s="607"/>
      <c r="F10" s="35" t="str">
        <f>IF(B10&lt;&gt;"","OK","PREENCHER")</f>
        <v>OK</v>
      </c>
      <c r="G10" s="35"/>
      <c r="H10" s="35"/>
      <c r="I10" s="35"/>
      <c r="J10" s="35"/>
      <c r="K10" s="35"/>
    </row>
    <row r="11" spans="1:11" s="36" customFormat="1" ht="9" thickBot="1" x14ac:dyDescent="0.25">
      <c r="F11" s="35"/>
      <c r="G11" s="35"/>
      <c r="H11" s="35"/>
      <c r="I11" s="35"/>
      <c r="J11" s="35"/>
      <c r="K11" s="35"/>
    </row>
    <row r="12" spans="1:11" ht="19.5" customHeight="1" x14ac:dyDescent="0.2">
      <c r="A12" s="609" t="s">
        <v>1</v>
      </c>
      <c r="B12" s="611" t="s">
        <v>63</v>
      </c>
      <c r="C12" s="612"/>
      <c r="D12" s="613"/>
      <c r="E12" s="614" t="s">
        <v>64</v>
      </c>
      <c r="F12" s="38"/>
      <c r="G12" s="38"/>
      <c r="H12" s="38"/>
      <c r="I12" s="38"/>
      <c r="J12" s="38"/>
      <c r="K12" s="38"/>
    </row>
    <row r="13" spans="1:11" ht="36" customHeight="1" thickBot="1" x14ac:dyDescent="0.25">
      <c r="A13" s="610"/>
      <c r="B13" s="40" t="s">
        <v>65</v>
      </c>
      <c r="C13" s="40" t="s">
        <v>66</v>
      </c>
      <c r="D13" s="41" t="s">
        <v>67</v>
      </c>
      <c r="E13" s="615"/>
      <c r="F13" s="38"/>
      <c r="G13" s="38"/>
      <c r="H13" s="38"/>
      <c r="I13" s="38"/>
      <c r="J13" s="38"/>
      <c r="K13" s="38"/>
    </row>
    <row r="14" spans="1:11" ht="15.75" x14ac:dyDescent="0.2">
      <c r="A14" s="42" t="s">
        <v>68</v>
      </c>
      <c r="B14" s="43">
        <f>IF(ISERROR(VLOOKUP($B$8,'[2]Base dados - TCU 2622_2013'!$A$7:$V$14,2,)),"",VLOOKUP($B$8,'[2]Base dados - TCU 2622_2013'!$A$7:$V$14,2,))</f>
        <v>3.8</v>
      </c>
      <c r="C14" s="43">
        <f>IF(ISERROR(VLOOKUP($B$8,'[2]Base dados - TCU 2622_2013'!$A$7:$V$14,3,)),"",VLOOKUP($B$8,'[2]Base dados - TCU 2622_2013'!$A$7:$V$14,3,))</f>
        <v>4.01</v>
      </c>
      <c r="D14" s="43">
        <f>IF(ISERROR(VLOOKUP($B$8,'[2]Base dados - TCU 2622_2013'!$A$7:$V$14,4,)),"",VLOOKUP($B$8,'[2]Base dados - TCU 2622_2013'!$A$7:$V$14,4,))</f>
        <v>4.67</v>
      </c>
      <c r="E14" s="44">
        <v>4.01</v>
      </c>
      <c r="F14" s="35" t="str">
        <f>IF(AND(E14&gt;=B14,E14&lt;=D14),"OK","PREENCHER")</f>
        <v>OK</v>
      </c>
      <c r="G14" s="45"/>
      <c r="H14" s="38"/>
      <c r="I14" s="38"/>
      <c r="J14" s="38"/>
      <c r="K14" s="38"/>
    </row>
    <row r="15" spans="1:11" ht="15.75" x14ac:dyDescent="0.2">
      <c r="A15" s="46" t="s">
        <v>69</v>
      </c>
      <c r="B15" s="43">
        <f>IF(ISERROR(VLOOKUP($B$8,'[2]Base dados - TCU 2622_2013'!$A$7:$V$14,5,)),"",VLOOKUP($B$8,'[2]Base dados - TCU 2622_2013'!$A$7:$V$14,5,))</f>
        <v>0.32</v>
      </c>
      <c r="C15" s="43">
        <f>IF(ISERROR(VLOOKUP($B$8,'[2]Base dados - TCU 2622_2013'!$A$7:$V$14,6,)),"",VLOOKUP($B$8,'[2]Base dados - TCU 2622_2013'!$A$7:$V$14,6,))</f>
        <v>0.4</v>
      </c>
      <c r="D15" s="43">
        <f>IF(ISERROR(VLOOKUP($B$8,'[2]Base dados - TCU 2622_2013'!$A$7:$V$14,7,)),"",VLOOKUP($B$8,'[2]Base dados - TCU 2622_2013'!$A$7:$V$14,7,))</f>
        <v>0.74</v>
      </c>
      <c r="E15" s="47">
        <v>0.4</v>
      </c>
      <c r="F15" s="35" t="str">
        <f t="shared" ref="F15:F22" si="0">IF(AND(E15&gt;=B15,E15&lt;=D15),"OK","PREENCHER")</f>
        <v>OK</v>
      </c>
      <c r="G15" s="48"/>
      <c r="H15" s="38"/>
      <c r="I15" s="38"/>
      <c r="J15" s="38"/>
      <c r="K15" s="38"/>
    </row>
    <row r="16" spans="1:11" ht="15.75" x14ac:dyDescent="0.2">
      <c r="A16" s="46" t="s">
        <v>70</v>
      </c>
      <c r="B16" s="43">
        <f>IF(ISERROR(VLOOKUP($B$8,'[2]Base dados - TCU 2622_2013'!$A$7:$V$14,8,)),"",VLOOKUP($B$8,'[2]Base dados - TCU 2622_2013'!$A$7:$V$14,8,))</f>
        <v>0.5</v>
      </c>
      <c r="C16" s="43">
        <f>IF(ISERROR(VLOOKUP($B$8,'[2]Base dados - TCU 2622_2013'!$A$7:$V$14,6,)),"",VLOOKUP($B$8,'[2]Base dados - TCU 2622_2013'!$A$7:$V$14,9,))</f>
        <v>0.56000000000000005</v>
      </c>
      <c r="D16" s="43">
        <f>IF(ISERROR(VLOOKUP($B$8,'[2]Base dados - TCU 2622_2013'!$A$7:$V$14,7,)),"",VLOOKUP($B$8,'[2]Base dados - TCU 2622_2013'!$A$7:$V$14,10,))</f>
        <v>0.97</v>
      </c>
      <c r="E16" s="47">
        <v>0.56000000000000005</v>
      </c>
      <c r="F16" s="35" t="str">
        <f t="shared" si="0"/>
        <v>OK</v>
      </c>
      <c r="G16" s="48"/>
      <c r="H16" s="38"/>
      <c r="I16" s="38"/>
      <c r="J16" s="38"/>
      <c r="K16" s="38"/>
    </row>
    <row r="17" spans="1:13" ht="15.75" x14ac:dyDescent="0.2">
      <c r="A17" s="42" t="s">
        <v>71</v>
      </c>
      <c r="B17" s="43">
        <f>IF(ISERROR(VLOOKUP($B$8,'[2]Base dados - TCU 2622_2013'!$A$7:$V$14,11,)),"",VLOOKUP($B$8,'[2]Base dados - TCU 2622_2013'!$A$7:$V$14,11,))</f>
        <v>1.02</v>
      </c>
      <c r="C17" s="43">
        <f>IF(ISERROR(VLOOKUP($B$8,'[2]Base dados - TCU 2622_2013'!$A$7:$V$14,12,)),"",VLOOKUP($B$8,'[2]Base dados - TCU 2622_2013'!$A$7:$V$14,12,))</f>
        <v>1.1100000000000001</v>
      </c>
      <c r="D17" s="43">
        <f>IF(ISERROR(VLOOKUP($B$8,'[2]Base dados - TCU 2622_2013'!$A$7:$V$14,13,)),"",VLOOKUP($B$8,'[2]Base dados - TCU 2622_2013'!$A$7:$V$14,13,))</f>
        <v>1.21</v>
      </c>
      <c r="E17" s="47">
        <v>1.1100000000000001</v>
      </c>
      <c r="F17" s="35" t="str">
        <f t="shared" si="0"/>
        <v>OK</v>
      </c>
      <c r="G17" s="48"/>
      <c r="H17" s="38"/>
      <c r="I17" s="38"/>
      <c r="J17" s="38"/>
      <c r="K17" s="38"/>
    </row>
    <row r="18" spans="1:13" ht="15.75" x14ac:dyDescent="0.2">
      <c r="A18" s="42" t="s">
        <v>72</v>
      </c>
      <c r="B18" s="43">
        <f>IF(ISERROR(VLOOKUP($B$8,'[2]Base dados - TCU 2622_2013'!$A$7:$V$14,14,)),"",VLOOKUP($B$8,'[2]Base dados - TCU 2622_2013'!$A$7:$V$14,14,))</f>
        <v>6.64</v>
      </c>
      <c r="C18" s="43">
        <f>IF(ISERROR(VLOOKUP($B$8,'[2]Base dados - TCU 2622_2013'!$A$7:$V$14,15,)),"",VLOOKUP($B$8,'[2]Base dados - TCU 2622_2013'!$A$7:$V$14,15,))</f>
        <v>7.3</v>
      </c>
      <c r="D18" s="43">
        <f>IF(ISERROR(VLOOKUP($B$8,'[2]Base dados - TCU 2622_2013'!$A$7:$V$14,16,)),"",VLOOKUP($B$8,'[2]Base dados - TCU 2622_2013'!$A$7:$V$14,16,))</f>
        <v>8.69</v>
      </c>
      <c r="E18" s="47">
        <v>7.3</v>
      </c>
      <c r="F18" s="35" t="str">
        <f t="shared" si="0"/>
        <v>OK</v>
      </c>
      <c r="G18" s="48"/>
      <c r="H18" s="38"/>
      <c r="I18" s="38"/>
      <c r="J18" s="38"/>
      <c r="K18" s="38"/>
    </row>
    <row r="19" spans="1:13" ht="15.75" x14ac:dyDescent="0.2">
      <c r="A19" s="42" t="s">
        <v>73</v>
      </c>
      <c r="B19" s="43">
        <f>IF(ISERROR(VLOOKUP($B$8,'[2]Base dados - TCU 2622_2013'!$A$7:$V$14,17,)),"",VLOOKUP($B$8,'[2]Base dados - TCU 2622_2013'!$A$7:$V$14,17,))</f>
        <v>3</v>
      </c>
      <c r="C19" s="43">
        <f>IF(ISERROR(VLOOKUP($B$8,'[2]Base dados - TCU 2622_2013'!$A$7:$V$14,17,)),"",VLOOKUP($B$8,'[2]Base dados - TCU 2622_2013'!$A$7:$V$14,17,))</f>
        <v>3</v>
      </c>
      <c r="D19" s="43">
        <f>IF(ISERROR(VLOOKUP($B$8,'[2]Base dados - TCU 2622_2013'!$A$7:$V$14,17,)),"",VLOOKUP($B$8,'[2]Base dados - TCU 2622_2013'!$A$7:$V$14,17,))</f>
        <v>3</v>
      </c>
      <c r="E19" s="47">
        <v>3</v>
      </c>
      <c r="F19" s="35" t="str">
        <f t="shared" si="0"/>
        <v>OK</v>
      </c>
      <c r="G19" s="38"/>
      <c r="H19" s="38"/>
      <c r="I19" s="38"/>
      <c r="J19" s="38"/>
      <c r="K19" s="38"/>
    </row>
    <row r="20" spans="1:13" ht="15.75" x14ac:dyDescent="0.2">
      <c r="A20" s="42" t="s">
        <v>74</v>
      </c>
      <c r="B20" s="43">
        <f>IF(ISERROR(VLOOKUP($B$8,'[2]Base dados - TCU 2622_2013'!$A$7:$V$14,18,)),"",VLOOKUP($B$8,'[2]Base dados - TCU 2622_2013'!$A$7:$V$14,18,))</f>
        <v>0.65</v>
      </c>
      <c r="C20" s="43">
        <f>IF(ISERROR(VLOOKUP($B$8,'[2]Base dados - TCU 2622_2013'!$A$7:$V$14,18,)),"",VLOOKUP($B$8,'[2]Base dados - TCU 2622_2013'!$A$7:$V$14,18,))</f>
        <v>0.65</v>
      </c>
      <c r="D20" s="43">
        <f>IF(ISERROR(VLOOKUP($B$8,'[2]Base dados - TCU 2622_2013'!$A$7:$V$14,18,)),"",VLOOKUP($B$8,'[2]Base dados - TCU 2622_2013'!$A$7:$V$14,18,))</f>
        <v>0.65</v>
      </c>
      <c r="E20" s="47">
        <v>0.65</v>
      </c>
      <c r="F20" s="35" t="str">
        <f t="shared" si="0"/>
        <v>OK</v>
      </c>
      <c r="G20" s="38"/>
      <c r="H20" s="38"/>
      <c r="I20" s="38"/>
      <c r="J20" s="38"/>
      <c r="K20" s="38"/>
    </row>
    <row r="21" spans="1:13" ht="15.75" x14ac:dyDescent="0.2">
      <c r="A21" s="42" t="s">
        <v>75</v>
      </c>
      <c r="B21" s="43">
        <f>IF(ISERROR(VLOOKUP($B$8,'[2]Base dados - TCU 2622_2013'!$A$7:$V$14,19,)),"",VLOOKUP($B$8,'[2]Base dados - TCU 2622_2013'!$A$7:$V$14,19,))</f>
        <v>2</v>
      </c>
      <c r="C21" s="43">
        <f>IF(ISERROR(VLOOKUP($B$8,'[2]Base dados - TCU 2622_2013'!$A$7:$V$14,20,)),"",VLOOKUP($B$8,'[2]Base dados - TCU 2622_2013'!$A$7:$V$14,20,))</f>
        <v>3.5</v>
      </c>
      <c r="D21" s="43">
        <f>IF(ISERROR(VLOOKUP($B$8,'[2]Base dados - TCU 2622_2013'!$A$7:$V$14,21,)),"",VLOOKUP($B$8,'[2]Base dados - TCU 2622_2013'!$A$7:$V$14,21,))</f>
        <v>5</v>
      </c>
      <c r="E21" s="47">
        <v>3</v>
      </c>
      <c r="F21" s="35" t="str">
        <f t="shared" si="0"/>
        <v>OK</v>
      </c>
      <c r="G21" s="49"/>
      <c r="H21" s="50"/>
      <c r="I21" s="50"/>
      <c r="J21" s="50"/>
      <c r="K21" s="38"/>
    </row>
    <row r="22" spans="1:13" ht="30" customHeight="1" thickBot="1" x14ac:dyDescent="0.25">
      <c r="A22" s="42" t="str">
        <f>IF(B10="sim","CPRB - Alíquota 4,5% Receita Bruta (Desoneração)","")</f>
        <v>CPRB - Alíquota 4,5% Receita Bruta (Desoneração)</v>
      </c>
      <c r="B22" s="43">
        <f>IF($A$22="CPRB - Alíquota 4,5% Receita Bruta (Desoneração)",4.5,IF($B$10="","Preencher cabeçalho",0))</f>
        <v>4.5</v>
      </c>
      <c r="C22" s="43">
        <f>IF($A$22="CPRB - Alíquota 4,5% Receita Bruta (Desoneração)",4.5,IF($B$10="","Preencher cabeçalho",0))</f>
        <v>4.5</v>
      </c>
      <c r="D22" s="51">
        <f>IF($A$22="CPRB - Alíquota 4,5% Receita Bruta (Desoneração)",4.5,IF($B$10="","Preencher cabeçalho",0))</f>
        <v>4.5</v>
      </c>
      <c r="E22" s="52">
        <f>IF(B10="SIM",4.5,0)</f>
        <v>4.5</v>
      </c>
      <c r="F22" s="35" t="str">
        <f t="shared" si="0"/>
        <v>OK</v>
      </c>
      <c r="G22" s="50"/>
      <c r="H22" s="50"/>
      <c r="I22" s="50"/>
      <c r="J22" s="50"/>
      <c r="K22" s="38"/>
    </row>
    <row r="23" spans="1:13" ht="48" customHeight="1" thickBot="1" x14ac:dyDescent="0.25">
      <c r="A23" s="53" t="s">
        <v>76</v>
      </c>
      <c r="B23" s="54">
        <f>IF($B$10="SIM",E28,"")</f>
        <v>25.576679622431975</v>
      </c>
      <c r="C23" s="54">
        <f>IF($B$10="SIM",J27,"")</f>
        <v>27.015141588006664</v>
      </c>
      <c r="D23" s="54">
        <f>IF($B$10="SIM",L27,"")</f>
        <v>30.43805108273181</v>
      </c>
      <c r="E23" s="55">
        <f>IF(B10="SIM",IF(G23&lt;12,"PREENCHER CÉLULAS RESTANTES",((((1+E14/100+E15/100+E16/100)*(1+E17/100)*(1+E18/100))/(1-((E19+E20+E21*$B$9+E22)/100))-1)*100)),"")</f>
        <v>26.466445520266557</v>
      </c>
      <c r="F23" s="38"/>
      <c r="G23" s="56">
        <f>COUNTIF(F8:F22,"OK")</f>
        <v>12</v>
      </c>
      <c r="I23" s="57"/>
      <c r="J23" s="38"/>
      <c r="K23" s="38"/>
    </row>
    <row r="24" spans="1:13" s="36" customFormat="1" ht="48.75" customHeight="1" thickBot="1" x14ac:dyDescent="0.25">
      <c r="A24" s="53" t="s">
        <v>77</v>
      </c>
      <c r="B24" s="54">
        <f>IF(B8&lt;&gt;"",VLOOKUP($B$8,'[2]Base dados - TCU 2622_2013'!$A$7:$Y$14,23,),"")</f>
        <v>19.600000000000001</v>
      </c>
      <c r="C24" s="54">
        <f>IF(B8&lt;&gt;"",VLOOKUP($B$8,'[2]Base dados - TCU 2622_2013'!$A$7:$Y$14,24,),"")</f>
        <v>20.97</v>
      </c>
      <c r="D24" s="54">
        <f>IF(B8&lt;&gt;"",VLOOKUP($B$8,'[2]Base dados - TCU 2622_2013'!$A$7:$Y$14,25,),"")</f>
        <v>24.23</v>
      </c>
      <c r="E24" s="55" t="str">
        <f>IF(B10="NÃO",IF(G23&lt;12,"PREENCHER CÉLULAS RESTANTES",((((1+E14/100+E15/100+E16/100)*(1+E17/100)*(1+E18/100))/(1-((E19+E20+E21*$B$9)/100))-1)*100)),"")</f>
        <v/>
      </c>
      <c r="F24" s="35" t="str">
        <f>IF(E26="ERRADO","BDI EXTRAPOLA A MAIS OU A MENOS OS LIMITES DO BDI ESTABELECIDOS PELO TCYU ACÓRDÃO 2622/2013","")</f>
        <v/>
      </c>
      <c r="G24" s="58"/>
      <c r="H24" s="58"/>
      <c r="I24" s="59"/>
      <c r="J24" s="35"/>
      <c r="K24" s="35"/>
    </row>
    <row r="25" spans="1:13" s="36" customFormat="1" ht="16.5" thickBot="1" x14ac:dyDescent="0.25">
      <c r="A25" s="60" t="s">
        <v>78</v>
      </c>
      <c r="F25" s="35"/>
      <c r="H25" s="59"/>
      <c r="I25" s="59"/>
      <c r="J25" s="35"/>
      <c r="K25" s="35"/>
    </row>
    <row r="26" spans="1:13" s="36" customFormat="1" ht="15.75" customHeight="1" thickBot="1" x14ac:dyDescent="0.25">
      <c r="A26" s="60" t="s">
        <v>79</v>
      </c>
      <c r="D26" s="61" t="s">
        <v>80</v>
      </c>
      <c r="E26" s="62" t="str">
        <f>IF(B10="NÃO",(IF(E24&gt;D24,"INADEQUADO",IF(E24&lt;B24,"INADEQUADO","OK"))),IF(B10="SIM",(IF(E23&gt;D23,"INADEQUADO",IF(E23&lt;B23,"INADEQUADO","OK"))),""))</f>
        <v>OK</v>
      </c>
      <c r="F26" s="63" t="s">
        <v>81</v>
      </c>
      <c r="G26" s="59"/>
      <c r="H26" s="59"/>
      <c r="I26" s="59"/>
      <c r="J26" s="35"/>
      <c r="K26" s="35"/>
    </row>
    <row r="27" spans="1:13" x14ac:dyDescent="0.2">
      <c r="D27" s="64" t="str">
        <f>IF(B10="SIM","BDI s/ desoneração:","")</f>
        <v>BDI s/ desoneração:</v>
      </c>
      <c r="E27" s="65">
        <f>IF(B10="SIM",((((1+E14/100+E15/100+E16/100)*(1+E17/100)*(1+E18/100))/(1-((E19+E20+E21*$B$9)/100))-1)*100),"")</f>
        <v>20.447418499206794</v>
      </c>
      <c r="F27" s="63" t="s">
        <v>82</v>
      </c>
      <c r="G27" s="57"/>
      <c r="I27" s="56">
        <f>VLOOKUP($B$8,'[2]Base dados - TCU 2622_2013'!$A$7:$Y$14,23,)</f>
        <v>19.600000000000001</v>
      </c>
      <c r="J27" s="56">
        <f>((1+K27/100)*(((0.045/(0.9185-$E$21/100*$B$9))+1))-1)*100</f>
        <v>27.015141588006664</v>
      </c>
      <c r="K27" s="56">
        <f>VLOOKUP($B$8,'[2]Base dados - TCU 2622_2013'!$A$7:$Y$14,24,)</f>
        <v>20.97</v>
      </c>
      <c r="L27" s="56">
        <f>((1+M27/100)*(((0.045/(0.9185-$E$21/100*$B$9))+1))-1)*100</f>
        <v>30.43805108273181</v>
      </c>
      <c r="M27" s="56">
        <f>VLOOKUP($B$8,'[2]Base dados - TCU 2622_2013'!$A$7:$Y$14,25,)</f>
        <v>24.23</v>
      </c>
    </row>
    <row r="28" spans="1:13" ht="15.75" x14ac:dyDescent="0.2">
      <c r="A28" s="598" t="s">
        <v>83</v>
      </c>
      <c r="B28" s="598"/>
      <c r="C28" s="598"/>
      <c r="D28" s="598"/>
      <c r="E28" s="66">
        <f>((1+I27/100)*(((0.045/(0.9185-$E$21/100*$B$9))+1))-1)*100</f>
        <v>25.576679622431975</v>
      </c>
      <c r="F28" s="59"/>
      <c r="G28" s="38"/>
      <c r="I28" s="56"/>
      <c r="J28" s="56">
        <f>((1+K27/100)*(0.9635-$E$21*$B$9/100)/(0.9435-$E$22*$B$9/100)-1)*100</f>
        <v>24.797746863066017</v>
      </c>
      <c r="K28" s="56"/>
      <c r="L28" s="56">
        <f>((1+M27/100)*(0.9635-$E$21*$B$9/100)/(0.9435-$E$22*$B$9/100)-1)*100</f>
        <v>28.160900163666124</v>
      </c>
      <c r="M28" s="56"/>
    </row>
    <row r="29" spans="1:13" x14ac:dyDescent="0.2">
      <c r="E29" s="66">
        <f>((1+I27/100)*(0.9635-$E$21*$B$9/100)/(0.9185-$E$22*$B$9/100)-1)*100</f>
        <v>26.84441951766685</v>
      </c>
      <c r="F29" s="59"/>
      <c r="G29" s="38"/>
      <c r="H29" s="38"/>
      <c r="I29" s="38"/>
      <c r="J29" s="38"/>
      <c r="K29" s="38"/>
      <c r="L29" s="38"/>
    </row>
    <row r="30" spans="1:13" x14ac:dyDescent="0.2">
      <c r="F30" s="38"/>
    </row>
    <row r="31" spans="1:13" x14ac:dyDescent="0.2">
      <c r="F31" s="38"/>
    </row>
    <row r="32" spans="1:13" x14ac:dyDescent="0.2">
      <c r="F32" s="38"/>
    </row>
    <row r="33" spans="1:11" ht="15" x14ac:dyDescent="0.2">
      <c r="A33" s="67" t="s">
        <v>84</v>
      </c>
      <c r="F33" s="38"/>
      <c r="G33" s="38"/>
      <c r="H33" s="38"/>
      <c r="I33" s="38"/>
      <c r="J33" s="38"/>
      <c r="K33" s="38"/>
    </row>
    <row r="34" spans="1:11" ht="15" x14ac:dyDescent="0.2">
      <c r="A34" s="600" t="s">
        <v>85</v>
      </c>
      <c r="B34" s="600"/>
      <c r="C34" s="600"/>
      <c r="D34" s="600"/>
      <c r="F34" s="38"/>
      <c r="G34" s="38"/>
      <c r="H34" s="38"/>
      <c r="I34" s="38"/>
      <c r="J34" s="38"/>
      <c r="K34" s="38"/>
    </row>
    <row r="35" spans="1:11" ht="15" x14ac:dyDescent="0.2">
      <c r="A35" s="600" t="s">
        <v>86</v>
      </c>
      <c r="B35" s="600"/>
      <c r="C35" s="600"/>
      <c r="D35" s="600"/>
      <c r="F35" s="38"/>
      <c r="G35" s="38"/>
      <c r="H35" s="38"/>
      <c r="I35" s="38"/>
      <c r="J35" s="38"/>
      <c r="K35" s="38"/>
    </row>
    <row r="36" spans="1:11" ht="15" x14ac:dyDescent="0.2">
      <c r="A36" s="600" t="s">
        <v>87</v>
      </c>
      <c r="B36" s="600"/>
      <c r="C36" s="600"/>
      <c r="D36" s="600"/>
      <c r="F36" s="38"/>
      <c r="G36" s="38"/>
      <c r="H36" s="38"/>
      <c r="I36" s="38"/>
      <c r="J36" s="38"/>
      <c r="K36" s="38"/>
    </row>
    <row r="37" spans="1:11" ht="15" x14ac:dyDescent="0.2">
      <c r="A37" s="600" t="s">
        <v>88</v>
      </c>
      <c r="B37" s="600"/>
      <c r="C37" s="600"/>
      <c r="D37" s="600"/>
      <c r="E37" s="600"/>
      <c r="F37" s="38"/>
      <c r="H37" s="38"/>
      <c r="I37" s="38"/>
      <c r="J37" s="38"/>
      <c r="K37" s="38"/>
    </row>
    <row r="38" spans="1:11" ht="15" x14ac:dyDescent="0.2">
      <c r="A38" s="600" t="s">
        <v>89</v>
      </c>
      <c r="B38" s="600"/>
      <c r="C38" s="600"/>
      <c r="D38" s="600"/>
      <c r="F38" s="38"/>
      <c r="G38" s="38"/>
      <c r="H38" s="38"/>
      <c r="I38" s="38"/>
      <c r="J38" s="38"/>
      <c r="K38" s="38"/>
    </row>
    <row r="39" spans="1:11" ht="15" x14ac:dyDescent="0.2">
      <c r="A39" s="68"/>
      <c r="B39" s="68"/>
      <c r="C39" s="68"/>
      <c r="D39" s="68"/>
      <c r="F39" s="38"/>
      <c r="G39" s="38"/>
      <c r="H39" s="38"/>
      <c r="I39" s="38"/>
      <c r="J39" s="38"/>
      <c r="K39" s="38"/>
    </row>
    <row r="40" spans="1:11" ht="68.25" customHeight="1" x14ac:dyDescent="0.2">
      <c r="A40" s="601" t="str">
        <f>CONCATENATE("Declaro para os devidos fins que, conforme legislação tributária municipal, a base de cálculo do ISS para ",B8," é de ",B9*100,"%, com a respectiva alíquota de ",E21,"%. Declaramos ainda que adotamos orçamento ",IF(B10="SIM","Com Desoneração",IF(B10="NÃO","Sem Desoneração",""))," e que esta é a alternativa mais adequada para a Administração Pública.")</f>
        <v>Declaro para os devidos fins que, conforme legislação tributária municipal, a base de cálculo do ISS para Construção de Rodovias (Pavimentação Urbana) é de 60%, com a respectiva alíquota de 3%. Declaramos ainda que adotamos orçamento Com Desoneração e que esta é a alternativa mais adequada para a Administração Pública.</v>
      </c>
      <c r="B40" s="602"/>
      <c r="C40" s="602"/>
      <c r="D40" s="602"/>
      <c r="E40" s="603"/>
      <c r="F40" s="38"/>
      <c r="G40" s="38"/>
      <c r="H40" s="38"/>
      <c r="I40" s="38"/>
      <c r="J40" s="38"/>
      <c r="K40" s="38"/>
    </row>
    <row r="41" spans="1:11" ht="15" x14ac:dyDescent="0.2">
      <c r="A41" s="68"/>
      <c r="B41" s="68"/>
      <c r="C41" s="68"/>
      <c r="D41" s="68"/>
      <c r="F41" s="38"/>
      <c r="G41" s="38"/>
      <c r="H41" s="38"/>
      <c r="I41" s="38"/>
      <c r="J41" s="38"/>
      <c r="K41" s="38"/>
    </row>
    <row r="42" spans="1:11" ht="15" x14ac:dyDescent="0.25">
      <c r="A42" s="69"/>
      <c r="B42" s="68"/>
      <c r="C42" s="68"/>
      <c r="D42" s="68"/>
      <c r="F42" s="38"/>
      <c r="G42" s="38"/>
      <c r="H42" s="38"/>
      <c r="I42" s="38"/>
      <c r="J42" s="38"/>
      <c r="K42" s="38"/>
    </row>
    <row r="43" spans="1:11" ht="15" x14ac:dyDescent="0.2">
      <c r="A43" s="68"/>
      <c r="B43" s="68"/>
      <c r="C43" s="68"/>
      <c r="D43" s="68"/>
      <c r="F43" s="38"/>
      <c r="G43" s="38"/>
      <c r="H43" s="38"/>
      <c r="I43" s="38"/>
      <c r="J43" s="38"/>
      <c r="K43" s="38"/>
    </row>
    <row r="44" spans="1:11" ht="15" x14ac:dyDescent="0.2">
      <c r="A44" s="70"/>
      <c r="B44" s="68"/>
      <c r="C44" s="604"/>
      <c r="D44" s="604"/>
      <c r="E44" s="604"/>
      <c r="F44" s="38"/>
      <c r="G44" s="38"/>
      <c r="H44" s="38"/>
      <c r="I44" s="38"/>
      <c r="J44" s="38"/>
      <c r="K44" s="38"/>
    </row>
    <row r="45" spans="1:11" ht="15" x14ac:dyDescent="0.2">
      <c r="A45" s="252" t="s">
        <v>152</v>
      </c>
      <c r="B45" s="68"/>
      <c r="C45" s="71" t="s">
        <v>90</v>
      </c>
      <c r="D45" s="605"/>
      <c r="E45" s="605"/>
      <c r="F45" s="38"/>
      <c r="G45" s="38"/>
      <c r="H45" s="38"/>
      <c r="I45" s="38"/>
      <c r="J45" s="38"/>
      <c r="K45" s="38"/>
    </row>
    <row r="46" spans="1:11" ht="15" x14ac:dyDescent="0.2">
      <c r="A46" s="252" t="s">
        <v>153</v>
      </c>
      <c r="B46" s="68"/>
      <c r="C46" s="71" t="s">
        <v>91</v>
      </c>
      <c r="D46" s="606"/>
      <c r="E46" s="606"/>
      <c r="F46" s="38"/>
      <c r="G46" s="38"/>
      <c r="H46" s="38"/>
      <c r="I46" s="38"/>
      <c r="J46" s="38"/>
      <c r="K46" s="38"/>
    </row>
    <row r="47" spans="1:11" ht="15" x14ac:dyDescent="0.2">
      <c r="A47" s="68"/>
      <c r="B47" s="68"/>
      <c r="C47" s="68"/>
      <c r="D47" s="68"/>
      <c r="F47" s="38"/>
      <c r="G47" s="38"/>
      <c r="H47" s="38"/>
      <c r="I47" s="38"/>
      <c r="J47" s="38"/>
      <c r="K47" s="38"/>
    </row>
    <row r="48" spans="1:11" x14ac:dyDescent="0.2">
      <c r="A48" s="72"/>
      <c r="B48" s="72"/>
      <c r="C48" s="72"/>
      <c r="D48" s="72"/>
      <c r="E48" s="72"/>
    </row>
    <row r="49" spans="1:5" ht="25.5" customHeight="1" x14ac:dyDescent="0.2">
      <c r="A49" s="599"/>
      <c r="B49" s="599"/>
      <c r="C49" s="599"/>
      <c r="D49" s="599"/>
      <c r="E49" s="599"/>
    </row>
    <row r="50" spans="1:5" ht="25.5" customHeight="1" x14ac:dyDescent="0.2">
      <c r="A50" s="73"/>
      <c r="B50" s="73"/>
      <c r="C50" s="73"/>
      <c r="D50" s="73"/>
      <c r="E50" s="73"/>
    </row>
    <row r="51" spans="1:5" ht="25.5" customHeight="1" x14ac:dyDescent="0.2">
      <c r="A51" s="599"/>
      <c r="B51" s="599"/>
      <c r="C51" s="599"/>
      <c r="D51" s="599"/>
      <c r="E51" s="599"/>
    </row>
    <row r="52" spans="1:5" s="30" customFormat="1" x14ac:dyDescent="0.2">
      <c r="A52" s="72"/>
      <c r="B52" s="72"/>
      <c r="C52" s="72"/>
      <c r="D52" s="72"/>
      <c r="E52" s="72"/>
    </row>
    <row r="53" spans="1:5" ht="15.75" x14ac:dyDescent="0.2">
      <c r="A53" s="74"/>
      <c r="B53" s="72"/>
      <c r="C53" s="72"/>
      <c r="D53" s="72"/>
      <c r="E53" s="72"/>
    </row>
    <row r="54" spans="1:5" s="36" customFormat="1" ht="8.25" x14ac:dyDescent="0.2">
      <c r="A54" s="75"/>
      <c r="B54" s="75"/>
      <c r="C54" s="75"/>
      <c r="D54" s="75"/>
      <c r="E54" s="75"/>
    </row>
    <row r="55" spans="1:5" ht="16.5" customHeight="1" x14ac:dyDescent="0.2">
      <c r="A55" s="596"/>
      <c r="B55" s="596"/>
      <c r="C55" s="596"/>
      <c r="D55" s="596"/>
      <c r="E55" s="76"/>
    </row>
    <row r="56" spans="1:5" ht="16.5" customHeight="1" x14ac:dyDescent="0.2">
      <c r="A56" s="596"/>
      <c r="B56" s="597"/>
      <c r="C56" s="597"/>
      <c r="D56" s="597"/>
      <c r="E56" s="76"/>
    </row>
    <row r="57" spans="1:5" ht="15.75" x14ac:dyDescent="0.2">
      <c r="A57" s="596"/>
      <c r="B57" s="77"/>
      <c r="C57" s="77"/>
      <c r="D57" s="77"/>
      <c r="E57" s="76"/>
    </row>
    <row r="58" spans="1:5" ht="15.75" x14ac:dyDescent="0.2">
      <c r="A58" s="78"/>
      <c r="B58" s="79"/>
      <c r="C58" s="79"/>
      <c r="D58" s="79"/>
    </row>
    <row r="59" spans="1:5" ht="15.75" x14ac:dyDescent="0.2">
      <c r="A59" s="78"/>
      <c r="B59" s="79"/>
      <c r="C59" s="79"/>
      <c r="D59" s="79"/>
    </row>
    <row r="60" spans="1:5" ht="15.75" x14ac:dyDescent="0.2">
      <c r="A60" s="78"/>
      <c r="B60" s="79"/>
      <c r="C60" s="79"/>
      <c r="D60" s="79"/>
    </row>
    <row r="61" spans="1:5" ht="15.75" x14ac:dyDescent="0.2">
      <c r="A61" s="78"/>
      <c r="B61" s="79"/>
      <c r="C61" s="79"/>
      <c r="D61" s="79"/>
    </row>
    <row r="62" spans="1:5" ht="15.75" x14ac:dyDescent="0.2">
      <c r="A62" s="78"/>
      <c r="B62" s="79"/>
      <c r="C62" s="79"/>
      <c r="D62" s="79"/>
    </row>
    <row r="63" spans="1:5" ht="15.75" x14ac:dyDescent="0.2">
      <c r="A63" s="80"/>
      <c r="B63" s="81"/>
      <c r="C63" s="81"/>
      <c r="D63" s="81"/>
    </row>
    <row r="64" spans="1:5" ht="15.75" x14ac:dyDescent="0.2">
      <c r="A64" s="78"/>
      <c r="B64" s="79"/>
      <c r="C64" s="79"/>
      <c r="D64" s="79"/>
    </row>
    <row r="65" spans="1:4" ht="15.75" x14ac:dyDescent="0.2">
      <c r="A65" s="78"/>
      <c r="B65" s="79"/>
      <c r="C65" s="79"/>
      <c r="D65" s="79"/>
    </row>
    <row r="66" spans="1:4" ht="15.75" x14ac:dyDescent="0.2">
      <c r="A66" s="78"/>
      <c r="B66" s="79"/>
      <c r="C66" s="79"/>
      <c r="D66" s="79"/>
    </row>
    <row r="67" spans="1:4" ht="15.75" x14ac:dyDescent="0.2">
      <c r="A67" s="80"/>
      <c r="B67" s="81"/>
      <c r="C67" s="81"/>
      <c r="D67" s="81"/>
    </row>
    <row r="68" spans="1:4" s="36" customFormat="1" ht="8.25" x14ac:dyDescent="0.2"/>
    <row r="69" spans="1:4" ht="15.75" x14ac:dyDescent="0.2">
      <c r="A69" s="598"/>
      <c r="B69" s="598"/>
      <c r="C69" s="598"/>
      <c r="D69" s="598"/>
    </row>
    <row r="74" spans="1:4" ht="15" x14ac:dyDescent="0.2">
      <c r="A74" s="67"/>
    </row>
    <row r="75" spans="1:4" ht="15" x14ac:dyDescent="0.2">
      <c r="A75" s="595"/>
      <c r="B75" s="595"/>
      <c r="C75" s="595"/>
      <c r="D75" s="595"/>
    </row>
    <row r="76" spans="1:4" ht="15" x14ac:dyDescent="0.2">
      <c r="A76" s="595"/>
      <c r="B76" s="595"/>
      <c r="C76" s="595"/>
      <c r="D76" s="595"/>
    </row>
    <row r="77" spans="1:4" ht="15" x14ac:dyDescent="0.2">
      <c r="A77" s="595"/>
      <c r="B77" s="595"/>
      <c r="C77" s="595"/>
      <c r="D77" s="595"/>
    </row>
    <row r="78" spans="1:4" ht="15" x14ac:dyDescent="0.2">
      <c r="A78" s="595"/>
      <c r="B78" s="595"/>
      <c r="C78" s="595"/>
      <c r="D78" s="595"/>
    </row>
    <row r="79" spans="1:4" ht="15" x14ac:dyDescent="0.2">
      <c r="A79" s="595"/>
      <c r="B79" s="595"/>
      <c r="C79" s="595"/>
      <c r="D79" s="595"/>
    </row>
    <row r="80" spans="1:4" ht="15" x14ac:dyDescent="0.2">
      <c r="A80" s="595"/>
      <c r="B80" s="595"/>
      <c r="C80" s="595"/>
      <c r="D80" s="595"/>
    </row>
    <row r="81" spans="1:4" ht="15" x14ac:dyDescent="0.2">
      <c r="A81" s="595"/>
      <c r="B81" s="595"/>
      <c r="C81" s="595"/>
      <c r="D81" s="595"/>
    </row>
  </sheetData>
  <sheetProtection password="D921" sheet="1" formatCells="0" formatColumns="0" formatRows="0" insertColumns="0" insertRows="0" insertHyperlinks="0" deleteColumns="0" deleteRows="0" selectLockedCells="1" sort="0" autoFilter="0" pivotTables="0"/>
  <dataConsolidate/>
  <mergeCells count="34">
    <mergeCell ref="A1:E1"/>
    <mergeCell ref="A3:E3"/>
    <mergeCell ref="B5:E5"/>
    <mergeCell ref="B6:E6"/>
    <mergeCell ref="B7:E7"/>
    <mergeCell ref="B8:E8"/>
    <mergeCell ref="B9:E9"/>
    <mergeCell ref="B10:E10"/>
    <mergeCell ref="A12:A13"/>
    <mergeCell ref="B12:D12"/>
    <mergeCell ref="E12:E13"/>
    <mergeCell ref="A28:D28"/>
    <mergeCell ref="A34:D34"/>
    <mergeCell ref="A35:D35"/>
    <mergeCell ref="A36:D36"/>
    <mergeCell ref="A37:E37"/>
    <mergeCell ref="A38:D38"/>
    <mergeCell ref="A40:E40"/>
    <mergeCell ref="C44:E44"/>
    <mergeCell ref="D45:E45"/>
    <mergeCell ref="D46:E46"/>
    <mergeCell ref="A49:E49"/>
    <mergeCell ref="A51:E51"/>
    <mergeCell ref="A55:D55"/>
    <mergeCell ref="A78:D78"/>
    <mergeCell ref="A79:D79"/>
    <mergeCell ref="A80:D80"/>
    <mergeCell ref="A81:D81"/>
    <mergeCell ref="A56:A57"/>
    <mergeCell ref="B56:D56"/>
    <mergeCell ref="A69:D69"/>
    <mergeCell ref="A75:D75"/>
    <mergeCell ref="A76:D76"/>
    <mergeCell ref="A77:D77"/>
  </mergeCells>
  <conditionalFormatting sqref="E26">
    <cfRule type="cellIs" dxfId="1" priority="1" stopIfTrue="1" operator="equal">
      <formula>"INADEQUADO"</formula>
    </cfRule>
    <cfRule type="cellIs" dxfId="0" priority="2" stopIfTrue="1" operator="equal">
      <formula>"OK"</formula>
    </cfRule>
  </conditionalFormatting>
  <dataValidations count="6">
    <dataValidation type="list" allowBlank="1" showInputMessage="1" showErrorMessage="1" errorTitle="ERRO" error="Digitar SIM ou NÃO!" sqref="B10:E10" xr:uid="{3B3D513C-E839-49E0-A852-8719E30AD507}">
      <formula1>sigla_sn</formula1>
    </dataValidation>
    <dataValidation type="decimal" allowBlank="1" showInputMessage="1" showErrorMessage="1" errorTitle="ERRO" error="Digite a % da Nota em que se incide o ISS" promptTitle="COMO PREENCHER:" prompt="- DE 0% A 100% CONFORME APLICADO PELA PREFEITURA NA NOTA PARA MÃO DE OBRA!" sqref="B9:E9" xr:uid="{B5E20673-2038-4313-9CA6-56AAF8553411}">
      <formula1>0</formula1>
      <formula2>1</formula2>
    </dataValidation>
    <dataValidation type="list" allowBlank="1" showInputMessage="1" showErrorMessage="1" errorTitle="ERRO" error="ESCOLHA ENTRE OS TIPOS DE OBRA ESPECIFICADOS !" sqref="B8:E8" xr:uid="{4ED95A28-3AC4-4152-B578-D1AD71FBB6BE}">
      <formula1>sigla_obras</formula1>
    </dataValidation>
    <dataValidation errorStyle="warning" allowBlank="1" showInputMessage="1" showErrorMessage="1" promptTitle="NOTE:" prompt="&lt;=== ADEQUAR PARA OS LIMITES DO BDI ESTABELECIDOS CONFORME TCU ACÓRDÃO 2622/2013 !" sqref="E26" xr:uid="{93D2BB0A-A033-430D-8AA1-506E025A10DB}"/>
    <dataValidation type="decimal" allowBlank="1" showInputMessage="1" showErrorMessage="1" errorTitle="ERRO" error="- SE ONERADO = 0%_x000a__x000a_- SE DESONERADO = ALÍQUOTA DE 4,5% DA RECEITA BRUTA" promptTitle="COMO PREENCHER:" prompt="- SE ONERADO: 0%_x000a__x000a_- SE DESONERADO: ALÍQUOTA DE 4,5% DA RECEITA BRUTA" sqref="E22" xr:uid="{B737EC41-785F-4776-AEA0-28E27AD3E5AA}">
      <formula1>B22</formula1>
      <formula2>D22</formula2>
    </dataValidation>
    <dataValidation type="decimal" allowBlank="1" showInputMessage="1" showErrorMessage="1" errorTitle="ERRO" error="O VALOR ESTÁ FORA DOS LIMITES ESTABELECIDOS PELO TCU ACÓRDÃO 2622/2013 !" sqref="E14:E21" xr:uid="{5DCB60A5-7C9F-4A3A-B9F4-6B685EE2090E}">
      <formula1>B14</formula1>
      <formula2>D14</formula2>
    </dataValidation>
  </dataValidations>
  <printOptions horizontalCentered="1"/>
  <pageMargins left="1.1811023622047245" right="0.78740157480314965" top="1.1811023622047245" bottom="0.78740157480314965" header="0.51181102362204722" footer="0.51181102362204722"/>
  <pageSetup paperSize="9" scale="76" orientation="portrait" horizontalDpi="4294967293" r:id="rId1"/>
  <headerFooter alignWithMargins="0">
    <oddFooter>&amp;R&amp;P de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63CAE-4CD7-495C-A5E6-0C6EBB061ABF}">
  <sheetPr codeName="Planilha2"/>
  <dimension ref="A1:Y18"/>
  <sheetViews>
    <sheetView view="pageBreakPreview" zoomScale="85" zoomScaleNormal="70" zoomScaleSheetLayoutView="85" workbookViewId="0">
      <selection activeCell="A9" sqref="A9"/>
    </sheetView>
  </sheetViews>
  <sheetFormatPr defaultColWidth="9.140625" defaultRowHeight="12.75" x14ac:dyDescent="0.2"/>
  <cols>
    <col min="1" max="1" width="84.85546875" style="7" bestFit="1" customWidth="1"/>
    <col min="2" max="24" width="9.140625" style="7"/>
    <col min="25" max="25" width="11.28515625" style="7" bestFit="1" customWidth="1"/>
    <col min="26" max="16384" width="9.140625" style="7"/>
  </cols>
  <sheetData>
    <row r="1" spans="1:25" x14ac:dyDescent="0.2">
      <c r="A1" s="7" t="s">
        <v>92</v>
      </c>
    </row>
    <row r="2" spans="1:25" x14ac:dyDescent="0.2">
      <c r="A2" s="7" t="s">
        <v>93</v>
      </c>
    </row>
    <row r="3" spans="1:25" x14ac:dyDescent="0.2">
      <c r="A3" s="7" t="s">
        <v>94</v>
      </c>
    </row>
    <row r="5" spans="1:25" x14ac:dyDescent="0.2">
      <c r="A5" s="82"/>
      <c r="B5" s="619" t="s">
        <v>95</v>
      </c>
      <c r="C5" s="619"/>
      <c r="D5" s="619"/>
      <c r="E5" s="619" t="s">
        <v>96</v>
      </c>
      <c r="F5" s="619"/>
      <c r="G5" s="619"/>
      <c r="H5" s="619" t="s">
        <v>97</v>
      </c>
      <c r="I5" s="619"/>
      <c r="J5" s="619"/>
      <c r="K5" s="619" t="s">
        <v>98</v>
      </c>
      <c r="L5" s="619"/>
      <c r="M5" s="619"/>
      <c r="N5" s="619" t="s">
        <v>99</v>
      </c>
      <c r="O5" s="619"/>
      <c r="P5" s="619"/>
      <c r="Q5" s="619" t="s">
        <v>73</v>
      </c>
      <c r="R5" s="619" t="s">
        <v>74</v>
      </c>
      <c r="S5" s="619" t="s">
        <v>100</v>
      </c>
      <c r="T5" s="619"/>
      <c r="U5" s="619"/>
      <c r="V5" s="619" t="s">
        <v>101</v>
      </c>
      <c r="W5" s="619" t="s">
        <v>102</v>
      </c>
      <c r="X5" s="619"/>
      <c r="Y5" s="619"/>
    </row>
    <row r="6" spans="1:25" ht="13.5" thickBot="1" x14ac:dyDescent="0.25">
      <c r="A6" s="82" t="s">
        <v>103</v>
      </c>
      <c r="B6" s="82" t="s">
        <v>104</v>
      </c>
      <c r="C6" s="82" t="s">
        <v>105</v>
      </c>
      <c r="D6" s="82" t="s">
        <v>106</v>
      </c>
      <c r="E6" s="82" t="s">
        <v>104</v>
      </c>
      <c r="F6" s="82" t="s">
        <v>105</v>
      </c>
      <c r="G6" s="82" t="s">
        <v>106</v>
      </c>
      <c r="H6" s="82" t="s">
        <v>104</v>
      </c>
      <c r="I6" s="82" t="s">
        <v>105</v>
      </c>
      <c r="J6" s="82" t="s">
        <v>106</v>
      </c>
      <c r="K6" s="82" t="s">
        <v>104</v>
      </c>
      <c r="L6" s="82" t="s">
        <v>105</v>
      </c>
      <c r="M6" s="82" t="s">
        <v>106</v>
      </c>
      <c r="N6" s="82" t="s">
        <v>104</v>
      </c>
      <c r="O6" s="82" t="s">
        <v>105</v>
      </c>
      <c r="P6" s="82" t="s">
        <v>106</v>
      </c>
      <c r="Q6" s="619"/>
      <c r="R6" s="619"/>
      <c r="S6" s="82" t="s">
        <v>104</v>
      </c>
      <c r="T6" s="82" t="s">
        <v>105</v>
      </c>
      <c r="U6" s="82" t="s">
        <v>106</v>
      </c>
      <c r="V6" s="619"/>
      <c r="W6" s="82" t="s">
        <v>104</v>
      </c>
      <c r="X6" s="82" t="s">
        <v>105</v>
      </c>
      <c r="Y6" s="82" t="s">
        <v>106</v>
      </c>
    </row>
    <row r="7" spans="1:25" ht="16.5" thickBot="1" x14ac:dyDescent="0.3">
      <c r="A7" s="82" t="s">
        <v>107</v>
      </c>
      <c r="B7" s="83">
        <v>3</v>
      </c>
      <c r="C7" s="83">
        <v>4</v>
      </c>
      <c r="D7" s="83">
        <v>5.5</v>
      </c>
      <c r="E7" s="84">
        <v>0.8</v>
      </c>
      <c r="F7" s="84">
        <v>0.8</v>
      </c>
      <c r="G7" s="84">
        <v>1</v>
      </c>
      <c r="H7" s="83">
        <v>0.97</v>
      </c>
      <c r="I7" s="83">
        <v>1.27</v>
      </c>
      <c r="J7" s="83">
        <v>1.27</v>
      </c>
      <c r="K7" s="84">
        <v>0.59</v>
      </c>
      <c r="L7" s="84">
        <v>1.23</v>
      </c>
      <c r="M7" s="84">
        <v>1.39</v>
      </c>
      <c r="N7" s="83">
        <v>6.16</v>
      </c>
      <c r="O7" s="83">
        <v>7.4</v>
      </c>
      <c r="P7" s="83">
        <v>8.9600000000000009</v>
      </c>
      <c r="Q7" s="83">
        <v>3</v>
      </c>
      <c r="R7" s="83">
        <v>0.65</v>
      </c>
      <c r="S7" s="84">
        <v>2</v>
      </c>
      <c r="T7" s="84">
        <f>(S7+U7)/2</f>
        <v>3.5</v>
      </c>
      <c r="U7" s="84">
        <v>5</v>
      </c>
      <c r="V7" s="82">
        <v>2</v>
      </c>
      <c r="W7" s="85">
        <v>20.34</v>
      </c>
      <c r="X7" s="85">
        <v>22.12</v>
      </c>
      <c r="Y7" s="85">
        <v>25</v>
      </c>
    </row>
    <row r="8" spans="1:25" ht="16.5" thickBot="1" x14ac:dyDescent="0.3">
      <c r="A8" s="82" t="s">
        <v>108</v>
      </c>
      <c r="B8" s="83">
        <v>3.8</v>
      </c>
      <c r="C8" s="83">
        <v>4.01</v>
      </c>
      <c r="D8" s="83">
        <v>4.67</v>
      </c>
      <c r="E8" s="84">
        <v>0.32</v>
      </c>
      <c r="F8" s="84">
        <v>0.4</v>
      </c>
      <c r="G8" s="84">
        <v>0.74</v>
      </c>
      <c r="H8" s="83">
        <v>0.5</v>
      </c>
      <c r="I8" s="83">
        <v>0.56000000000000005</v>
      </c>
      <c r="J8" s="83">
        <v>0.97</v>
      </c>
      <c r="K8" s="84">
        <v>1.02</v>
      </c>
      <c r="L8" s="84">
        <v>1.1100000000000001</v>
      </c>
      <c r="M8" s="84">
        <v>1.21</v>
      </c>
      <c r="N8" s="83">
        <v>6.64</v>
      </c>
      <c r="O8" s="83">
        <v>7.3</v>
      </c>
      <c r="P8" s="83">
        <v>8.69</v>
      </c>
      <c r="Q8" s="83">
        <v>3</v>
      </c>
      <c r="R8" s="83">
        <v>0.65</v>
      </c>
      <c r="S8" s="84">
        <v>2</v>
      </c>
      <c r="T8" s="84">
        <f t="shared" ref="T8:T14" si="0">(S8+U8)/2</f>
        <v>3.5</v>
      </c>
      <c r="U8" s="84">
        <v>5</v>
      </c>
      <c r="V8" s="82">
        <v>2</v>
      </c>
      <c r="W8" s="85">
        <v>19.600000000000001</v>
      </c>
      <c r="X8" s="85">
        <v>20.97</v>
      </c>
      <c r="Y8" s="85">
        <v>24.23</v>
      </c>
    </row>
    <row r="9" spans="1:25" ht="16.5" thickBot="1" x14ac:dyDescent="0.3">
      <c r="A9" s="82" t="s">
        <v>60</v>
      </c>
      <c r="B9" s="83">
        <v>3.8</v>
      </c>
      <c r="C9" s="83">
        <v>4.01</v>
      </c>
      <c r="D9" s="83">
        <v>4.67</v>
      </c>
      <c r="E9" s="84">
        <v>0.32</v>
      </c>
      <c r="F9" s="84">
        <v>0.4</v>
      </c>
      <c r="G9" s="84">
        <v>0.74</v>
      </c>
      <c r="H9" s="83">
        <v>0.5</v>
      </c>
      <c r="I9" s="83">
        <v>0.56000000000000005</v>
      </c>
      <c r="J9" s="83">
        <v>0.97</v>
      </c>
      <c r="K9" s="84">
        <v>1.02</v>
      </c>
      <c r="L9" s="84">
        <v>1.1100000000000001</v>
      </c>
      <c r="M9" s="84">
        <v>1.21</v>
      </c>
      <c r="N9" s="83">
        <v>6.64</v>
      </c>
      <c r="O9" s="83">
        <v>7.3</v>
      </c>
      <c r="P9" s="83">
        <v>8.69</v>
      </c>
      <c r="Q9" s="83">
        <v>3</v>
      </c>
      <c r="R9" s="83">
        <v>0.65</v>
      </c>
      <c r="S9" s="84">
        <v>2</v>
      </c>
      <c r="T9" s="84">
        <f>(S9+U9)/2</f>
        <v>3.5</v>
      </c>
      <c r="U9" s="84">
        <v>5</v>
      </c>
      <c r="V9" s="82">
        <v>2</v>
      </c>
      <c r="W9" s="85">
        <v>19.600000000000001</v>
      </c>
      <c r="X9" s="85">
        <v>20.97</v>
      </c>
      <c r="Y9" s="85">
        <v>24.23</v>
      </c>
    </row>
    <row r="10" spans="1:25" ht="16.5" thickBot="1" x14ac:dyDescent="0.3">
      <c r="A10" s="82" t="s">
        <v>109</v>
      </c>
      <c r="B10" s="83">
        <v>3.8</v>
      </c>
      <c r="C10" s="83">
        <v>4.01</v>
      </c>
      <c r="D10" s="83">
        <v>4.67</v>
      </c>
      <c r="E10" s="84">
        <v>0.32</v>
      </c>
      <c r="F10" s="84">
        <v>0.4</v>
      </c>
      <c r="G10" s="84">
        <v>0.74</v>
      </c>
      <c r="H10" s="83">
        <v>0.5</v>
      </c>
      <c r="I10" s="83">
        <v>0.56000000000000005</v>
      </c>
      <c r="J10" s="83">
        <v>0.97</v>
      </c>
      <c r="K10" s="84">
        <v>1.02</v>
      </c>
      <c r="L10" s="84">
        <v>1.1100000000000001</v>
      </c>
      <c r="M10" s="84">
        <v>1.21</v>
      </c>
      <c r="N10" s="83">
        <v>6.64</v>
      </c>
      <c r="O10" s="83">
        <v>7.3</v>
      </c>
      <c r="P10" s="83">
        <v>8.69</v>
      </c>
      <c r="Q10" s="83">
        <v>3</v>
      </c>
      <c r="R10" s="83">
        <v>0.65</v>
      </c>
      <c r="S10" s="84">
        <v>2</v>
      </c>
      <c r="T10" s="84">
        <f t="shared" si="0"/>
        <v>3.5</v>
      </c>
      <c r="U10" s="84">
        <v>5</v>
      </c>
      <c r="V10" s="82">
        <v>2</v>
      </c>
      <c r="W10" s="85">
        <v>19.600000000000001</v>
      </c>
      <c r="X10" s="85">
        <v>20.97</v>
      </c>
      <c r="Y10" s="85">
        <v>24.23</v>
      </c>
    </row>
    <row r="11" spans="1:25" ht="16.5" thickBot="1" x14ac:dyDescent="0.3">
      <c r="A11" s="82" t="s">
        <v>110</v>
      </c>
      <c r="B11" s="83">
        <v>3.43</v>
      </c>
      <c r="C11" s="83">
        <v>4.93</v>
      </c>
      <c r="D11" s="83">
        <v>6.71</v>
      </c>
      <c r="E11" s="84">
        <v>0.28000000000000003</v>
      </c>
      <c r="F11" s="84">
        <v>0.49</v>
      </c>
      <c r="G11" s="84">
        <v>0.75</v>
      </c>
      <c r="H11" s="83">
        <v>1</v>
      </c>
      <c r="I11" s="83">
        <v>1.39</v>
      </c>
      <c r="J11" s="83">
        <v>1.74</v>
      </c>
      <c r="K11" s="84">
        <v>0.94</v>
      </c>
      <c r="L11" s="84">
        <v>0.99</v>
      </c>
      <c r="M11" s="84">
        <v>1.17</v>
      </c>
      <c r="N11" s="83">
        <v>6.74</v>
      </c>
      <c r="O11" s="83">
        <v>8.0399999999999991</v>
      </c>
      <c r="P11" s="83">
        <v>9.4</v>
      </c>
      <c r="Q11" s="83">
        <v>3</v>
      </c>
      <c r="R11" s="83">
        <v>0.65</v>
      </c>
      <c r="S11" s="84">
        <v>2</v>
      </c>
      <c r="T11" s="84">
        <f t="shared" si="0"/>
        <v>3.5</v>
      </c>
      <c r="U11" s="84">
        <v>5</v>
      </c>
      <c r="V11" s="82">
        <v>2</v>
      </c>
      <c r="W11" s="85">
        <v>20.76</v>
      </c>
      <c r="X11" s="85">
        <v>24.18</v>
      </c>
      <c r="Y11" s="85">
        <v>26.44</v>
      </c>
    </row>
    <row r="12" spans="1:25" ht="16.5" thickBot="1" x14ac:dyDescent="0.3">
      <c r="A12" s="82" t="s">
        <v>111</v>
      </c>
      <c r="B12" s="83">
        <v>5.29</v>
      </c>
      <c r="C12" s="83">
        <v>5.92</v>
      </c>
      <c r="D12" s="83">
        <v>7.93</v>
      </c>
      <c r="E12" s="84">
        <v>0.25</v>
      </c>
      <c r="F12" s="84">
        <v>0.51</v>
      </c>
      <c r="G12" s="84">
        <v>0.56000000000000005</v>
      </c>
      <c r="H12" s="83">
        <v>1</v>
      </c>
      <c r="I12" s="83">
        <v>1.48</v>
      </c>
      <c r="J12" s="83">
        <v>1.97</v>
      </c>
      <c r="K12" s="84">
        <v>1.01</v>
      </c>
      <c r="L12" s="84">
        <v>1.07</v>
      </c>
      <c r="M12" s="84">
        <v>1.1100000000000001</v>
      </c>
      <c r="N12" s="83">
        <v>8</v>
      </c>
      <c r="O12" s="83">
        <v>8.31</v>
      </c>
      <c r="P12" s="83">
        <v>9.51</v>
      </c>
      <c r="Q12" s="83">
        <v>3</v>
      </c>
      <c r="R12" s="83">
        <v>0.65</v>
      </c>
      <c r="S12" s="84">
        <v>2</v>
      </c>
      <c r="T12" s="84">
        <f t="shared" si="0"/>
        <v>3.5</v>
      </c>
      <c r="U12" s="84">
        <v>5</v>
      </c>
      <c r="V12" s="82">
        <v>2</v>
      </c>
      <c r="W12" s="85">
        <v>24</v>
      </c>
      <c r="X12" s="85">
        <v>25.84</v>
      </c>
      <c r="Y12" s="85">
        <v>27.86</v>
      </c>
    </row>
    <row r="13" spans="1:25" ht="16.5" thickBot="1" x14ac:dyDescent="0.3">
      <c r="A13" s="82" t="s">
        <v>112</v>
      </c>
      <c r="B13" s="83">
        <v>4</v>
      </c>
      <c r="C13" s="83">
        <v>5.52</v>
      </c>
      <c r="D13" s="83">
        <v>7.85</v>
      </c>
      <c r="E13" s="84">
        <v>0.81</v>
      </c>
      <c r="F13" s="84">
        <v>1.22</v>
      </c>
      <c r="G13" s="84">
        <v>1.99</v>
      </c>
      <c r="H13" s="83">
        <v>1.46</v>
      </c>
      <c r="I13" s="83">
        <v>2.3199999999999998</v>
      </c>
      <c r="J13" s="83">
        <v>3.16</v>
      </c>
      <c r="K13" s="84">
        <v>0.94</v>
      </c>
      <c r="L13" s="84">
        <v>1.02</v>
      </c>
      <c r="M13" s="84">
        <v>1.33</v>
      </c>
      <c r="N13" s="83">
        <v>7.14</v>
      </c>
      <c r="O13" s="83">
        <v>8.4</v>
      </c>
      <c r="P13" s="83">
        <v>10.43</v>
      </c>
      <c r="Q13" s="83">
        <v>3</v>
      </c>
      <c r="R13" s="83">
        <v>0.65</v>
      </c>
      <c r="S13" s="84">
        <v>2</v>
      </c>
      <c r="T13" s="84">
        <f t="shared" si="0"/>
        <v>3.5</v>
      </c>
      <c r="U13" s="84">
        <v>5</v>
      </c>
      <c r="V13" s="82">
        <v>2</v>
      </c>
      <c r="W13" s="85">
        <v>22.8</v>
      </c>
      <c r="X13" s="85">
        <v>27.48</v>
      </c>
      <c r="Y13" s="85">
        <v>30.95</v>
      </c>
    </row>
    <row r="14" spans="1:25" ht="16.5" thickBot="1" x14ac:dyDescent="0.3">
      <c r="A14" s="82" t="s">
        <v>113</v>
      </c>
      <c r="B14" s="83">
        <v>1.5</v>
      </c>
      <c r="C14" s="83">
        <v>3.45</v>
      </c>
      <c r="D14" s="83">
        <v>4.49</v>
      </c>
      <c r="E14" s="84">
        <v>0.3</v>
      </c>
      <c r="F14" s="84">
        <v>0.48</v>
      </c>
      <c r="G14" s="84">
        <v>0.82</v>
      </c>
      <c r="H14" s="83">
        <v>0.56000000000000005</v>
      </c>
      <c r="I14" s="83">
        <v>0.85</v>
      </c>
      <c r="J14" s="83">
        <v>0.89</v>
      </c>
      <c r="K14" s="84">
        <v>0.85</v>
      </c>
      <c r="L14" s="84">
        <v>0.85</v>
      </c>
      <c r="M14" s="84">
        <v>1.1100000000000001</v>
      </c>
      <c r="N14" s="83">
        <v>3.5</v>
      </c>
      <c r="O14" s="83">
        <v>5.1100000000000003</v>
      </c>
      <c r="P14" s="83">
        <v>6.22</v>
      </c>
      <c r="Q14" s="83">
        <v>3</v>
      </c>
      <c r="R14" s="83">
        <v>0.65</v>
      </c>
      <c r="S14" s="84">
        <v>2</v>
      </c>
      <c r="T14" s="84">
        <f t="shared" si="0"/>
        <v>3.5</v>
      </c>
      <c r="U14" s="84">
        <v>5</v>
      </c>
      <c r="V14" s="82">
        <v>2</v>
      </c>
      <c r="W14" s="85">
        <v>11.1</v>
      </c>
      <c r="X14" s="85">
        <v>14.02</v>
      </c>
      <c r="Y14" s="85">
        <v>16.8</v>
      </c>
    </row>
    <row r="17" spans="2:12" ht="12.75" customHeight="1" x14ac:dyDescent="0.2">
      <c r="B17" s="620"/>
      <c r="C17" s="620"/>
      <c r="D17" s="620"/>
      <c r="F17" s="620"/>
      <c r="G17" s="620"/>
      <c r="H17" s="620"/>
      <c r="J17" s="620"/>
      <c r="K17" s="620"/>
      <c r="L17" s="620"/>
    </row>
    <row r="18" spans="2:12" x14ac:dyDescent="0.2">
      <c r="B18" s="620"/>
      <c r="C18" s="620"/>
      <c r="D18" s="620"/>
      <c r="F18" s="620"/>
      <c r="G18" s="620"/>
      <c r="H18" s="620"/>
      <c r="J18" s="620"/>
      <c r="K18" s="620"/>
      <c r="L18" s="620"/>
    </row>
  </sheetData>
  <sheetProtection password="D921" sheet="1" formatCells="0" formatColumns="0" formatRows="0" insertColumns="0" insertRows="0" insertHyperlinks="0" deleteColumns="0" deleteRows="0" sort="0" autoFilter="0" pivotTables="0"/>
  <mergeCells count="13">
    <mergeCell ref="W5:Y5"/>
    <mergeCell ref="B17:D18"/>
    <mergeCell ref="F17:H18"/>
    <mergeCell ref="J17:L18"/>
    <mergeCell ref="B5:D5"/>
    <mergeCell ref="E5:G5"/>
    <mergeCell ref="H5:J5"/>
    <mergeCell ref="K5:M5"/>
    <mergeCell ref="N5:P5"/>
    <mergeCell ref="Q5:Q6"/>
    <mergeCell ref="R5:R6"/>
    <mergeCell ref="S5:U5"/>
    <mergeCell ref="V5:V6"/>
  </mergeCells>
  <pageMargins left="0.78740157499999996" right="0.78740157499999996" top="0.984251969" bottom="0.984251969" header="0.49212598499999999" footer="0.49212598499999999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67033-F197-4626-8FB7-CF23679DCBCF}">
  <sheetPr codeName="Planilha7">
    <pageSetUpPr fitToPage="1"/>
  </sheetPr>
  <dimension ref="A1:AI78"/>
  <sheetViews>
    <sheetView showGridLines="0" showZeros="0" view="pageBreakPreview" zoomScaleNormal="100" zoomScaleSheetLayoutView="100" workbookViewId="0">
      <pane ySplit="7" topLeftCell="A42" activePane="bottomLeft" state="frozen"/>
      <selection activeCell="C1" sqref="C1"/>
      <selection pane="bottomLeft" activeCell="C57" sqref="C57"/>
    </sheetView>
  </sheetViews>
  <sheetFormatPr defaultColWidth="9.140625" defaultRowHeight="12.75" x14ac:dyDescent="0.2"/>
  <cols>
    <col min="1" max="1" width="7.140625" style="215" customWidth="1"/>
    <col min="2" max="2" width="13" style="215" hidden="1" customWidth="1"/>
    <col min="3" max="3" width="117.7109375" style="215" customWidth="1"/>
    <col min="4" max="4" width="5.7109375" style="215" customWidth="1"/>
    <col min="5" max="5" width="12.28515625" style="215" customWidth="1"/>
    <col min="6" max="15" width="11.7109375" style="215" customWidth="1"/>
    <col min="16" max="16" width="13.7109375" style="215" hidden="1" customWidth="1"/>
    <col min="17" max="17" width="17.85546875" style="215" hidden="1" customWidth="1"/>
    <col min="18" max="18" width="14.5703125" style="215" hidden="1" customWidth="1"/>
    <col min="19" max="19" width="16.5703125" style="215" hidden="1" customWidth="1"/>
    <col min="20" max="32" width="9.140625" style="215" hidden="1" customWidth="1"/>
    <col min="33" max="33" width="9.7109375" style="215" bestFit="1" customWidth="1"/>
    <col min="34" max="16384" width="9.140625" style="215"/>
  </cols>
  <sheetData>
    <row r="1" spans="1:35" ht="54.6" customHeight="1" x14ac:dyDescent="0.2">
      <c r="A1" s="503"/>
      <c r="B1" s="504"/>
      <c r="C1" s="504"/>
      <c r="D1" s="504"/>
      <c r="E1" s="504"/>
      <c r="F1" s="504"/>
      <c r="G1" s="504"/>
      <c r="H1" s="504"/>
      <c r="I1" s="504"/>
      <c r="J1" s="504"/>
      <c r="K1" s="504"/>
      <c r="L1" s="504"/>
      <c r="M1" s="504"/>
      <c r="N1" s="504"/>
      <c r="O1" s="505"/>
    </row>
    <row r="2" spans="1:35" ht="13.9" customHeight="1" x14ac:dyDescent="0.2">
      <c r="A2" s="636" t="s">
        <v>166</v>
      </c>
      <c r="B2" s="637"/>
      <c r="C2" s="637"/>
      <c r="D2" s="637"/>
      <c r="E2" s="637"/>
      <c r="F2" s="637"/>
      <c r="G2" s="637"/>
      <c r="H2" s="637"/>
      <c r="I2" s="637"/>
      <c r="J2" s="637"/>
      <c r="K2" s="637"/>
      <c r="L2" s="637"/>
      <c r="M2" s="261" t="s">
        <v>189</v>
      </c>
      <c r="N2" s="253"/>
      <c r="O2" s="259" t="s">
        <v>158</v>
      </c>
    </row>
    <row r="3" spans="1:35" ht="15" customHeight="1" x14ac:dyDescent="0.2">
      <c r="A3" s="265" t="s">
        <v>172</v>
      </c>
      <c r="B3" s="266"/>
      <c r="C3" s="266" t="s">
        <v>171</v>
      </c>
      <c r="D3" s="266"/>
      <c r="E3" s="266"/>
      <c r="F3" s="266"/>
      <c r="G3" s="266"/>
      <c r="H3" s="266"/>
      <c r="I3" s="266"/>
      <c r="J3" s="266"/>
      <c r="K3" s="266"/>
      <c r="L3" s="267"/>
      <c r="M3" s="283" t="s">
        <v>167</v>
      </c>
      <c r="N3" s="638" t="s">
        <v>168</v>
      </c>
      <c r="O3" s="639"/>
      <c r="P3" s="216"/>
      <c r="Q3" s="216"/>
      <c r="R3" s="216"/>
      <c r="S3" s="216"/>
      <c r="T3" s="216"/>
      <c r="U3" s="216"/>
      <c r="V3" s="216"/>
      <c r="W3" s="216"/>
      <c r="X3" s="216"/>
      <c r="Y3" s="216"/>
      <c r="Z3" s="216"/>
      <c r="AA3" s="216"/>
      <c r="AB3" s="216"/>
      <c r="AC3" s="216"/>
      <c r="AD3" s="216"/>
      <c r="AE3" s="216"/>
      <c r="AF3" s="216"/>
      <c r="AG3" s="216"/>
      <c r="AH3" s="216"/>
      <c r="AI3" s="216"/>
    </row>
    <row r="4" spans="1:35" x14ac:dyDescent="0.2">
      <c r="A4" s="626" t="str">
        <f>PLAN!A3</f>
        <v>OBRA: SERVIÇOS DE INFRAESTRUTURA</v>
      </c>
      <c r="B4" s="627"/>
      <c r="C4" s="627"/>
      <c r="D4" s="627"/>
      <c r="E4" s="627"/>
      <c r="F4" s="627"/>
      <c r="G4" s="627"/>
      <c r="H4" s="627"/>
      <c r="I4" s="627"/>
      <c r="J4" s="627"/>
      <c r="K4" s="627"/>
      <c r="L4" s="628"/>
      <c r="M4" s="253" t="s">
        <v>169</v>
      </c>
      <c r="N4" s="632">
        <v>46244</v>
      </c>
      <c r="O4" s="633"/>
      <c r="P4" s="216"/>
      <c r="Q4" s="216"/>
      <c r="R4" s="216"/>
      <c r="S4" s="216"/>
      <c r="T4" s="216"/>
      <c r="U4" s="216"/>
      <c r="V4" s="216"/>
      <c r="W4" s="216"/>
      <c r="X4" s="216"/>
      <c r="Y4" s="216"/>
      <c r="Z4" s="216"/>
      <c r="AA4" s="216"/>
      <c r="AB4" s="216"/>
      <c r="AC4" s="216"/>
      <c r="AD4" s="216"/>
      <c r="AE4" s="216"/>
      <c r="AF4" s="216"/>
      <c r="AG4" s="216"/>
      <c r="AH4" s="216"/>
      <c r="AI4" s="216"/>
    </row>
    <row r="5" spans="1:35" ht="15" customHeight="1" x14ac:dyDescent="0.2">
      <c r="A5" s="629" t="str">
        <f>PLAN!A4</f>
        <v>LOCAL: ÁREAS PÚBLICAS MUNICIPAIS DE SANTA CRUZ DO ESCALVADO (MG)</v>
      </c>
      <c r="B5" s="630"/>
      <c r="C5" s="630"/>
      <c r="D5" s="630"/>
      <c r="E5" s="630"/>
      <c r="F5" s="630"/>
      <c r="G5" s="630"/>
      <c r="H5" s="630"/>
      <c r="I5" s="630"/>
      <c r="J5" s="630"/>
      <c r="K5" s="630"/>
      <c r="L5" s="631"/>
      <c r="M5" s="263" t="s">
        <v>170</v>
      </c>
      <c r="N5" s="634"/>
      <c r="O5" s="635"/>
      <c r="P5" s="216"/>
      <c r="Q5" s="216"/>
      <c r="R5" s="216"/>
      <c r="S5" s="216"/>
      <c r="T5" s="216"/>
      <c r="U5" s="216"/>
      <c r="V5" s="216"/>
      <c r="W5" s="216"/>
      <c r="X5" s="216"/>
      <c r="Y5" s="216"/>
      <c r="Z5" s="216"/>
      <c r="AA5" s="216"/>
      <c r="AB5" s="216"/>
      <c r="AC5" s="216"/>
      <c r="AD5" s="216"/>
      <c r="AE5" s="216"/>
      <c r="AF5" s="216"/>
      <c r="AG5" s="216"/>
      <c r="AH5" s="216"/>
      <c r="AI5" s="216"/>
    </row>
    <row r="6" spans="1:35" ht="15" customHeight="1" x14ac:dyDescent="0.2">
      <c r="A6" s="626" t="s">
        <v>154</v>
      </c>
      <c r="B6" s="642"/>
      <c r="C6" s="642"/>
      <c r="D6" s="642"/>
      <c r="E6" s="642"/>
      <c r="F6" s="642"/>
      <c r="G6" s="642"/>
      <c r="H6" s="643"/>
      <c r="I6" s="644" t="s">
        <v>156</v>
      </c>
      <c r="J6" s="645"/>
      <c r="K6" s="644" t="s">
        <v>157</v>
      </c>
      <c r="L6" s="645"/>
      <c r="M6" s="264" t="s">
        <v>155</v>
      </c>
      <c r="N6" s="255">
        <f>PLAN!H6</f>
        <v>0.26469999999999999</v>
      </c>
      <c r="O6" s="254"/>
      <c r="P6" s="217" t="e">
        <f>G65</f>
        <v>#REF!</v>
      </c>
      <c r="Q6" s="218"/>
      <c r="R6" s="219"/>
      <c r="S6" s="216"/>
      <c r="T6" s="216"/>
      <c r="U6" s="216"/>
      <c r="V6" s="216"/>
      <c r="W6" s="216"/>
      <c r="X6" s="216"/>
      <c r="Y6" s="216"/>
      <c r="Z6" s="216"/>
      <c r="AA6" s="216"/>
      <c r="AB6" s="216"/>
      <c r="AC6" s="216"/>
      <c r="AD6" s="216"/>
      <c r="AE6" s="216"/>
      <c r="AF6" s="216"/>
      <c r="AG6" s="216"/>
      <c r="AH6" s="216"/>
      <c r="AI6" s="216"/>
    </row>
    <row r="7" spans="1:35" ht="43.9" customHeight="1" x14ac:dyDescent="0.2">
      <c r="A7" s="256" t="s">
        <v>0</v>
      </c>
      <c r="B7" s="256" t="s">
        <v>3</v>
      </c>
      <c r="C7" s="256" t="s">
        <v>132</v>
      </c>
      <c r="D7" s="257" t="s">
        <v>13</v>
      </c>
      <c r="E7" s="257" t="s">
        <v>143</v>
      </c>
      <c r="F7" s="257" t="s">
        <v>144</v>
      </c>
      <c r="G7" s="257" t="s">
        <v>145</v>
      </c>
      <c r="H7" s="257" t="s">
        <v>159</v>
      </c>
      <c r="I7" s="258" t="s">
        <v>160</v>
      </c>
      <c r="J7" s="258" t="s">
        <v>161</v>
      </c>
      <c r="K7" s="258" t="s">
        <v>173</v>
      </c>
      <c r="L7" s="258" t="s">
        <v>162</v>
      </c>
      <c r="M7" s="262" t="s">
        <v>163</v>
      </c>
      <c r="N7" s="262" t="s">
        <v>164</v>
      </c>
      <c r="O7" s="262" t="s">
        <v>165</v>
      </c>
      <c r="P7" s="220"/>
      <c r="Q7" s="221">
        <v>0.26890000000000003</v>
      </c>
      <c r="R7" s="216"/>
      <c r="S7" s="216"/>
      <c r="T7" s="216"/>
      <c r="U7" s="216"/>
      <c r="V7" s="216"/>
      <c r="W7" s="216"/>
      <c r="X7" s="216"/>
      <c r="Y7" s="216"/>
      <c r="Z7" s="216"/>
      <c r="AA7" s="216"/>
      <c r="AB7" s="216"/>
      <c r="AC7" s="216"/>
      <c r="AD7" s="216"/>
      <c r="AE7" s="216"/>
      <c r="AF7" s="216"/>
      <c r="AG7" s="216"/>
      <c r="AH7" s="216"/>
      <c r="AI7" s="216"/>
    </row>
    <row r="8" spans="1:35" ht="13.9" customHeight="1" x14ac:dyDescent="0.2">
      <c r="A8" s="296">
        <f>PLAN!A8</f>
        <v>1</v>
      </c>
      <c r="B8" s="296"/>
      <c r="C8" s="299" t="str">
        <f>PLAN!C8</f>
        <v>ADMINISTRAÇÃO LOCAL</v>
      </c>
      <c r="D8" s="296">
        <f>PLAN!D8</f>
        <v>0</v>
      </c>
      <c r="E8" s="121"/>
      <c r="F8" s="323"/>
      <c r="G8" s="227"/>
      <c r="H8" s="227"/>
      <c r="I8" s="227"/>
      <c r="J8" s="227"/>
      <c r="K8" s="227"/>
      <c r="L8" s="300"/>
      <c r="M8" s="227"/>
      <c r="N8" s="324"/>
      <c r="O8" s="227"/>
      <c r="P8" s="220"/>
      <c r="Q8" s="216"/>
      <c r="R8" s="216"/>
      <c r="S8" s="216"/>
      <c r="T8" s="216"/>
      <c r="U8" s="216"/>
      <c r="V8" s="216"/>
      <c r="W8" s="216"/>
      <c r="X8" s="216"/>
      <c r="Y8" s="216"/>
      <c r="Z8" s="216"/>
      <c r="AA8" s="216"/>
      <c r="AB8" s="216"/>
      <c r="AC8" s="216"/>
      <c r="AD8" s="216"/>
      <c r="AE8" s="216"/>
      <c r="AF8" s="216"/>
      <c r="AG8" s="216"/>
      <c r="AH8" s="216"/>
      <c r="AI8" s="216"/>
    </row>
    <row r="9" spans="1:35" ht="13.9" customHeight="1" x14ac:dyDescent="0.2">
      <c r="A9" s="296" t="str">
        <f>PLAN!A9</f>
        <v xml:space="preserve"> 1.1 </v>
      </c>
      <c r="B9" s="296"/>
      <c r="C9" s="299" t="str">
        <f>PLAN!C9</f>
        <v>ENCARREGADO GERAL DE OBRAS COM ENCARGOS COMPLEMENTARES</v>
      </c>
      <c r="D9" s="296" t="str">
        <f>PLAN!D9</f>
        <v>MÊS</v>
      </c>
      <c r="E9" s="121">
        <f>PLAN!E9</f>
        <v>2.1800000000000002</v>
      </c>
      <c r="F9" s="227">
        <f>PLAN!G9</f>
        <v>12293.01</v>
      </c>
      <c r="G9" s="227">
        <f>ROUND(E9*F9,2)</f>
        <v>26798.76</v>
      </c>
      <c r="H9" s="227"/>
      <c r="I9" s="227">
        <v>2.1818181818181817</v>
      </c>
      <c r="J9" s="227">
        <f>I9+H9</f>
        <v>2.1818181818181817</v>
      </c>
      <c r="K9" s="227">
        <f>E9-J9</f>
        <v>-1.8181818181814968E-3</v>
      </c>
      <c r="L9" s="300">
        <f>ROUND(I9*F9,2)</f>
        <v>26821.11</v>
      </c>
      <c r="M9" s="227">
        <f>ROUND(J9*F9,2)</f>
        <v>26821.11</v>
      </c>
      <c r="N9" s="324">
        <f>ROUND(M9/G9,4)</f>
        <v>1.0007999999999999</v>
      </c>
      <c r="O9" s="227">
        <f>G9-M9</f>
        <v>-22.350000000002183</v>
      </c>
      <c r="P9" s="220"/>
      <c r="Q9" s="216"/>
      <c r="R9" s="216"/>
      <c r="S9" s="216"/>
      <c r="T9" s="216"/>
      <c r="U9" s="216"/>
      <c r="V9" s="216"/>
      <c r="W9" s="216"/>
      <c r="X9" s="216"/>
      <c r="Y9" s="216"/>
      <c r="Z9" s="216"/>
      <c r="AA9" s="216"/>
      <c r="AB9" s="216"/>
      <c r="AC9" s="216"/>
      <c r="AD9" s="216"/>
      <c r="AE9" s="216"/>
      <c r="AF9" s="216"/>
      <c r="AG9" s="260"/>
      <c r="AH9" s="260"/>
      <c r="AI9" s="216"/>
    </row>
    <row r="10" spans="1:35" ht="13.9" customHeight="1" x14ac:dyDescent="0.2">
      <c r="A10" s="296" t="str">
        <f>PLAN!A10</f>
        <v xml:space="preserve"> 1.2</v>
      </c>
      <c r="B10" s="296"/>
      <c r="C10" s="299" t="str">
        <f>PLAN!C10</f>
        <v>TÉCNICO EM SEGURANÇA DO TRABALHO COM ENCARGOS COMPLEMENTARES</v>
      </c>
      <c r="D10" s="296" t="str">
        <f>PLAN!D10</f>
        <v>MÊS</v>
      </c>
      <c r="E10" s="121">
        <f>PLAN!E10</f>
        <v>0.03</v>
      </c>
      <c r="F10" s="227">
        <f>PLAN!G10</f>
        <v>10433.19</v>
      </c>
      <c r="G10" s="227">
        <f t="shared" ref="G10:G44" si="0">ROUND(E10*F10,2)</f>
        <v>313</v>
      </c>
      <c r="H10" s="227"/>
      <c r="I10" s="227">
        <v>2.7272727272727271E-2</v>
      </c>
      <c r="J10" s="227">
        <f t="shared" ref="J10:J44" si="1">I10+H10</f>
        <v>2.7272727272727271E-2</v>
      </c>
      <c r="K10" s="227">
        <f t="shared" ref="K10:K44" si="2">E10-J10</f>
        <v>2.7272727272727275E-3</v>
      </c>
      <c r="L10" s="300">
        <f t="shared" ref="L10:L44" si="3">ROUND(I10*F10,2)</f>
        <v>284.54000000000002</v>
      </c>
      <c r="M10" s="227">
        <f t="shared" ref="M10:M44" si="4">ROUND(J10*F10,2)</f>
        <v>284.54000000000002</v>
      </c>
      <c r="N10" s="324">
        <f t="shared" ref="N10:N44" si="5">ROUND(M10/G10,4)</f>
        <v>0.90910000000000002</v>
      </c>
      <c r="O10" s="227">
        <f t="shared" ref="O10:O44" si="6">G10-M10</f>
        <v>28.45999999999998</v>
      </c>
      <c r="P10" s="220"/>
      <c r="Q10" s="216"/>
      <c r="R10" s="216"/>
      <c r="S10" s="216"/>
      <c r="T10" s="216"/>
      <c r="U10" s="216"/>
      <c r="V10" s="216"/>
      <c r="W10" s="216"/>
      <c r="X10" s="216"/>
      <c r="Y10" s="216"/>
      <c r="Z10" s="216"/>
      <c r="AA10" s="216"/>
      <c r="AB10" s="216"/>
      <c r="AC10" s="216"/>
      <c r="AD10" s="216"/>
      <c r="AE10" s="216"/>
      <c r="AF10" s="216"/>
      <c r="AG10" s="260"/>
      <c r="AH10" s="260"/>
      <c r="AI10" s="216"/>
    </row>
    <row r="11" spans="1:35" ht="13.9" customHeight="1" x14ac:dyDescent="0.2">
      <c r="A11" s="296" t="str">
        <f>PLAN!A11</f>
        <v xml:space="preserve"> 1.3</v>
      </c>
      <c r="B11" s="296"/>
      <c r="C11" s="299" t="str">
        <f>PLAN!C11</f>
        <v>ENGENHEIRO CIVIL DE OBRA PLENO COM ENCARGOS COMPLEMENTARES</v>
      </c>
      <c r="D11" s="296" t="str">
        <f>PLAN!D11</f>
        <v>MÊS</v>
      </c>
      <c r="E11" s="121">
        <f>PLAN!E11</f>
        <v>0.03</v>
      </c>
      <c r="F11" s="227">
        <f>PLAN!G11</f>
        <v>30092.51</v>
      </c>
      <c r="G11" s="227">
        <f t="shared" si="0"/>
        <v>902.78</v>
      </c>
      <c r="H11" s="227"/>
      <c r="I11" s="227">
        <v>5.4545454545454543E-2</v>
      </c>
      <c r="J11" s="227">
        <f t="shared" si="1"/>
        <v>5.4545454545454543E-2</v>
      </c>
      <c r="K11" s="227">
        <f t="shared" si="2"/>
        <v>-2.4545454545454544E-2</v>
      </c>
      <c r="L11" s="300">
        <f t="shared" si="3"/>
        <v>1641.41</v>
      </c>
      <c r="M11" s="227">
        <f t="shared" si="4"/>
        <v>1641.41</v>
      </c>
      <c r="N11" s="324">
        <f t="shared" si="5"/>
        <v>1.8182</v>
      </c>
      <c r="O11" s="227">
        <f t="shared" si="6"/>
        <v>-738.63000000000011</v>
      </c>
      <c r="P11" s="222">
        <f>SUM(G9:G11)</f>
        <v>28014.539999999997</v>
      </c>
      <c r="Q11" s="223" t="e">
        <f>P11/G65</f>
        <v>#REF!</v>
      </c>
      <c r="R11" s="216"/>
      <c r="S11" s="216"/>
      <c r="T11" s="216"/>
      <c r="U11" s="216"/>
      <c r="V11" s="216"/>
      <c r="W11" s="216"/>
      <c r="X11" s="216"/>
      <c r="Y11" s="216"/>
      <c r="Z11" s="216"/>
      <c r="AA11" s="216"/>
      <c r="AB11" s="216"/>
      <c r="AC11" s="216"/>
      <c r="AD11" s="216"/>
      <c r="AE11" s="216"/>
      <c r="AF11" s="216"/>
      <c r="AG11" s="260"/>
      <c r="AH11" s="260"/>
      <c r="AI11" s="216"/>
    </row>
    <row r="12" spans="1:35" ht="13.9" customHeight="1" x14ac:dyDescent="0.2">
      <c r="A12" s="296">
        <f>PLAN!A12</f>
        <v>2</v>
      </c>
      <c r="B12" s="302"/>
      <c r="C12" s="299" t="str">
        <f>PLAN!C12</f>
        <v>SERVIÇOS PRELIMINARES</v>
      </c>
      <c r="D12" s="296">
        <f>PLAN!D12</f>
        <v>0</v>
      </c>
      <c r="E12" s="121"/>
      <c r="F12" s="227"/>
      <c r="G12" s="227"/>
      <c r="H12" s="227"/>
      <c r="I12" s="227"/>
      <c r="J12" s="227"/>
      <c r="K12" s="227"/>
      <c r="L12" s="300"/>
      <c r="M12" s="227"/>
      <c r="N12" s="324"/>
      <c r="O12" s="227"/>
      <c r="P12" s="220"/>
      <c r="Q12" s="216"/>
      <c r="R12" s="216"/>
      <c r="S12" s="216"/>
      <c r="T12" s="216"/>
      <c r="U12" s="216"/>
      <c r="V12" s="216"/>
      <c r="W12" s="216"/>
      <c r="X12" s="216"/>
      <c r="Y12" s="216"/>
      <c r="Z12" s="216"/>
      <c r="AA12" s="216"/>
      <c r="AB12" s="216"/>
      <c r="AC12" s="216"/>
      <c r="AD12" s="216"/>
      <c r="AE12" s="216"/>
      <c r="AF12" s="216"/>
      <c r="AG12" s="216"/>
      <c r="AH12" s="216"/>
      <c r="AI12" s="216"/>
    </row>
    <row r="13" spans="1:35" ht="24" customHeight="1" x14ac:dyDescent="0.2">
      <c r="A13" s="296" t="str">
        <f>PLAN!A13</f>
        <v>2.1</v>
      </c>
      <c r="B13" s="303"/>
      <c r="C13" s="299" t="str">
        <f>PLAN!C13</f>
        <v>FORNECIMENTO E COLOCAÇÃO DE PLACA DE OBRA EM CHAPA GALVANIZADA #26, ESP. 0,45 MM, PLOTADA COM ADESIVO VINÍLICO, AFIXADA C/ REBITES 4,8X40 MM, EM ESTRUTURA METÁLICA DE METALON 20X20 MM, ESP. 1,25 MM, INCL SUPORTE EM EUCALIPTO AUTOCLAVADO PINTADO COM TINTA PVA DUAS (2) DEMÃOS</v>
      </c>
      <c r="D13" s="296" t="str">
        <f>PLAN!D13</f>
        <v>M2</v>
      </c>
      <c r="E13" s="121">
        <f>PLAN!E13</f>
        <v>2</v>
      </c>
      <c r="F13" s="227">
        <f>PLAN!G13</f>
        <v>331.17</v>
      </c>
      <c r="G13" s="227">
        <f t="shared" si="0"/>
        <v>662.34</v>
      </c>
      <c r="H13" s="227"/>
      <c r="I13" s="227">
        <v>2</v>
      </c>
      <c r="J13" s="227">
        <f t="shared" si="1"/>
        <v>2</v>
      </c>
      <c r="K13" s="227">
        <f t="shared" si="2"/>
        <v>0</v>
      </c>
      <c r="L13" s="300">
        <f t="shared" si="3"/>
        <v>662.34</v>
      </c>
      <c r="M13" s="227">
        <f t="shared" si="4"/>
        <v>662.34</v>
      </c>
      <c r="N13" s="324">
        <f t="shared" si="5"/>
        <v>1</v>
      </c>
      <c r="O13" s="227">
        <f t="shared" si="6"/>
        <v>0</v>
      </c>
      <c r="P13" s="224"/>
      <c r="Q13" s="225">
        <v>0.02</v>
      </c>
      <c r="R13" s="224"/>
      <c r="S13" s="216"/>
      <c r="T13" s="226"/>
      <c r="U13" s="216"/>
      <c r="V13" s="216"/>
      <c r="W13" s="216"/>
      <c r="X13" s="216"/>
      <c r="Y13" s="216"/>
      <c r="Z13" s="216"/>
      <c r="AA13" s="216"/>
      <c r="AB13" s="216"/>
      <c r="AC13" s="216"/>
      <c r="AD13" s="216"/>
      <c r="AE13" s="216"/>
      <c r="AF13" s="216"/>
      <c r="AG13" s="216"/>
      <c r="AH13" s="216"/>
      <c r="AI13" s="216"/>
    </row>
    <row r="14" spans="1:35" ht="13.9" customHeight="1" x14ac:dyDescent="0.2">
      <c r="A14" s="296" t="str">
        <f>PLAN!A14</f>
        <v>2.2</v>
      </c>
      <c r="B14" s="325"/>
      <c r="C14" s="299" t="str">
        <f>PLAN!C14</f>
        <v>MOBILIZAÇÃO E DESMOBILIZAÇÃO OBRA DISTANTE DE CENTRO URBANO OU REGIÃO LIMÍTROFE COM VALOR ATÉ 1.000.000,00</v>
      </c>
      <c r="D14" s="296" t="str">
        <f>PLAN!D14</f>
        <v>%</v>
      </c>
      <c r="E14" s="121">
        <f>PLAN!E14</f>
        <v>0.5</v>
      </c>
      <c r="F14" s="227">
        <f>PLAN!G14</f>
        <v>838064.13</v>
      </c>
      <c r="G14" s="227">
        <f>ROUND(E14*F14,2)/100</f>
        <v>4190.3207000000002</v>
      </c>
      <c r="H14" s="227"/>
      <c r="I14" s="227">
        <v>2</v>
      </c>
      <c r="J14" s="227">
        <f t="shared" si="1"/>
        <v>2</v>
      </c>
      <c r="K14" s="227">
        <f t="shared" si="2"/>
        <v>-1.5</v>
      </c>
      <c r="L14" s="300">
        <f>ROUND(I14*F14,2)/100</f>
        <v>16761.282599999999</v>
      </c>
      <c r="M14" s="227">
        <f>ROUND(J14*F14,2)/100</f>
        <v>16761.282599999999</v>
      </c>
      <c r="N14" s="324">
        <f t="shared" si="5"/>
        <v>4</v>
      </c>
      <c r="O14" s="227">
        <f t="shared" si="6"/>
        <v>-12570.961899999998</v>
      </c>
      <c r="P14" s="222">
        <f>SUM(G13:G14)</f>
        <v>4852.6607000000004</v>
      </c>
      <c r="Q14" s="227" t="e">
        <f>Q13*G65</f>
        <v>#REF!</v>
      </c>
      <c r="R14" s="224"/>
      <c r="S14" s="228"/>
      <c r="T14" s="226"/>
      <c r="U14" s="216"/>
      <c r="V14" s="216"/>
      <c r="W14" s="216"/>
      <c r="X14" s="216"/>
      <c r="Y14" s="216"/>
      <c r="Z14" s="216"/>
      <c r="AA14" s="216"/>
      <c r="AB14" s="216"/>
      <c r="AC14" s="216"/>
      <c r="AD14" s="216"/>
      <c r="AE14" s="216"/>
      <c r="AF14" s="216"/>
      <c r="AG14" s="216"/>
      <c r="AH14" s="216"/>
      <c r="AI14" s="216"/>
    </row>
    <row r="15" spans="1:35" ht="13.9" customHeight="1" x14ac:dyDescent="0.2">
      <c r="A15" s="296">
        <f>PLAN!A15</f>
        <v>3</v>
      </c>
      <c r="B15" s="302"/>
      <c r="C15" s="299" t="str">
        <f>PLAN!C15</f>
        <v>ÁREA 01 - RUA SAGRADOS CORAÇÕES</v>
      </c>
      <c r="D15" s="296"/>
      <c r="E15" s="121"/>
      <c r="F15" s="227"/>
      <c r="G15" s="227"/>
      <c r="H15" s="227"/>
      <c r="I15" s="227"/>
      <c r="J15" s="227"/>
      <c r="K15" s="227"/>
      <c r="L15" s="300"/>
      <c r="M15" s="227"/>
      <c r="N15" s="324"/>
      <c r="O15" s="227"/>
      <c r="P15" s="229"/>
      <c r="Q15" s="226"/>
      <c r="R15" s="224"/>
      <c r="S15" s="228"/>
      <c r="T15" s="226"/>
      <c r="U15" s="216"/>
      <c r="V15" s="216"/>
      <c r="W15" s="216"/>
      <c r="X15" s="216"/>
      <c r="Y15" s="216"/>
      <c r="Z15" s="216"/>
      <c r="AA15" s="216"/>
      <c r="AB15" s="216"/>
      <c r="AC15" s="216"/>
      <c r="AD15" s="216"/>
      <c r="AE15" s="216"/>
      <c r="AF15" s="216"/>
      <c r="AG15" s="216"/>
      <c r="AH15" s="216"/>
      <c r="AI15" s="216"/>
    </row>
    <row r="16" spans="1:35" ht="13.9" customHeight="1" x14ac:dyDescent="0.2">
      <c r="A16" s="296" t="str">
        <f>PLAN!A17</f>
        <v>3.1.1</v>
      </c>
      <c r="B16" s="302"/>
      <c r="C16" s="299" t="str">
        <f>PLAN!C17</f>
        <v xml:space="preserve">REMOÇÃO DE MEIO FIO PRÉ MOLDADO DE CONCRETO </v>
      </c>
      <c r="D16" s="296"/>
      <c r="E16" s="121"/>
      <c r="F16" s="227"/>
      <c r="G16" s="227"/>
      <c r="H16" s="227"/>
      <c r="I16" s="227"/>
      <c r="J16" s="227"/>
      <c r="K16" s="227"/>
      <c r="L16" s="300"/>
      <c r="M16" s="227"/>
      <c r="N16" s="324"/>
      <c r="O16" s="227"/>
      <c r="P16" s="224"/>
      <c r="Q16" s="226"/>
      <c r="R16" s="224"/>
      <c r="S16" s="228"/>
      <c r="T16" s="226"/>
      <c r="U16" s="216"/>
      <c r="V16" s="216"/>
      <c r="W16" s="216"/>
      <c r="X16" s="216"/>
      <c r="Y16" s="216"/>
      <c r="Z16" s="216"/>
      <c r="AA16" s="216"/>
      <c r="AB16" s="216"/>
      <c r="AC16" s="216"/>
      <c r="AD16" s="216"/>
      <c r="AE16" s="216"/>
      <c r="AF16" s="216"/>
      <c r="AG16" s="216"/>
      <c r="AH16" s="216"/>
      <c r="AI16" s="216"/>
    </row>
    <row r="17" spans="1:35" ht="24" customHeight="1" x14ac:dyDescent="0.2">
      <c r="A17" s="296" t="str">
        <f>PLAN!A19</f>
        <v>3.1.3</v>
      </c>
      <c r="B17" s="304"/>
      <c r="C17" s="299" t="str">
        <f>PLAN!C19</f>
        <v>TRANSPORTE DE MATERIAL DE QUALQUER NATUREZA COM CARRINHO DE MÃO, COM DISTÂNCIAS MENORES OU IGUAIS A 50M, INCLUSIVE CARGA/DESCARGA</v>
      </c>
      <c r="D17" s="296" t="str">
        <f>PLAN!D19</f>
        <v>M3</v>
      </c>
      <c r="E17" s="121">
        <f>PLAN!E19</f>
        <v>5.09</v>
      </c>
      <c r="F17" s="227">
        <f>PLAN!G19</f>
        <v>35.29</v>
      </c>
      <c r="G17" s="227">
        <f t="shared" si="0"/>
        <v>179.63</v>
      </c>
      <c r="H17" s="227"/>
      <c r="I17" s="227">
        <v>2250</v>
      </c>
      <c r="J17" s="227">
        <f t="shared" si="1"/>
        <v>2250</v>
      </c>
      <c r="K17" s="227">
        <f t="shared" si="2"/>
        <v>-2244.91</v>
      </c>
      <c r="L17" s="300">
        <f t="shared" si="3"/>
        <v>79402.5</v>
      </c>
      <c r="M17" s="227">
        <f t="shared" si="4"/>
        <v>79402.5</v>
      </c>
      <c r="N17" s="324">
        <f t="shared" si="5"/>
        <v>442.03359999999998</v>
      </c>
      <c r="O17" s="227">
        <f t="shared" si="6"/>
        <v>-79222.87</v>
      </c>
      <c r="P17" s="224"/>
      <c r="Q17" s="226"/>
      <c r="R17" s="230"/>
      <c r="S17" s="230"/>
      <c r="T17" s="226"/>
      <c r="U17" s="144"/>
      <c r="V17" s="216"/>
      <c r="W17" s="216"/>
      <c r="X17" s="216"/>
      <c r="Y17" s="216"/>
      <c r="Z17" s="216"/>
      <c r="AA17" s="216"/>
      <c r="AB17" s="216"/>
      <c r="AC17" s="216"/>
      <c r="AD17" s="216"/>
      <c r="AE17" s="216"/>
      <c r="AF17" s="216"/>
      <c r="AG17" s="216"/>
      <c r="AH17" s="216"/>
      <c r="AI17" s="216"/>
    </row>
    <row r="18" spans="1:35" ht="13.9" customHeight="1" x14ac:dyDescent="0.2">
      <c r="A18" s="296" t="str">
        <f>PLAN!A20</f>
        <v>3.1.4</v>
      </c>
      <c r="B18" s="304"/>
      <c r="C18" s="299" t="str">
        <f>PLAN!C20</f>
        <v>TRANSPORTE DE MATERIAL DE QUALQUER NATUREZA EM CAMINHÃO, DISTÂNCIA MAIOR QUE 1KM E MENOR OU IGUAL A 2KM, DENTRO DO PERÍMETRO URBANO, EXCLUSIVE CARGA, INCLUSIVE DESCARGA</v>
      </c>
      <c r="D18" s="296" t="str">
        <f>PLAN!D20</f>
        <v>M3xKM</v>
      </c>
      <c r="E18" s="121">
        <f>PLAN!E20</f>
        <v>10.18</v>
      </c>
      <c r="F18" s="227">
        <f>PLAN!G20</f>
        <v>5.25</v>
      </c>
      <c r="G18" s="227">
        <f t="shared" si="0"/>
        <v>53.45</v>
      </c>
      <c r="H18" s="227"/>
      <c r="I18" s="227">
        <v>50</v>
      </c>
      <c r="J18" s="227">
        <f t="shared" si="1"/>
        <v>50</v>
      </c>
      <c r="K18" s="227">
        <f t="shared" si="2"/>
        <v>-39.82</v>
      </c>
      <c r="L18" s="300">
        <f t="shared" si="3"/>
        <v>262.5</v>
      </c>
      <c r="M18" s="227">
        <f t="shared" si="4"/>
        <v>262.5</v>
      </c>
      <c r="N18" s="324">
        <f t="shared" si="5"/>
        <v>4.9111000000000002</v>
      </c>
      <c r="O18" s="227">
        <f t="shared" si="6"/>
        <v>-209.05</v>
      </c>
      <c r="P18" s="224"/>
      <c r="Q18" s="226"/>
      <c r="R18" s="230"/>
      <c r="S18" s="230"/>
      <c r="T18" s="226"/>
      <c r="U18" s="144"/>
      <c r="V18" s="216"/>
      <c r="W18" s="216"/>
      <c r="X18" s="216"/>
      <c r="Y18" s="216"/>
      <c r="Z18" s="216"/>
      <c r="AA18" s="216"/>
      <c r="AB18" s="216"/>
      <c r="AC18" s="216"/>
      <c r="AD18" s="216"/>
      <c r="AE18" s="216"/>
      <c r="AF18" s="216"/>
      <c r="AG18" s="216"/>
      <c r="AH18" s="216"/>
      <c r="AI18" s="216"/>
    </row>
    <row r="19" spans="1:35" ht="24" customHeight="1" x14ac:dyDescent="0.2">
      <c r="A19" s="296" t="e">
        <f>PLAN!#REF!</f>
        <v>#REF!</v>
      </c>
      <c r="B19" s="303"/>
      <c r="C19" s="299" t="e">
        <f>PLAN!#REF!</f>
        <v>#REF!</v>
      </c>
      <c r="D19" s="296" t="e">
        <f>PLAN!#REF!</f>
        <v>#REF!</v>
      </c>
      <c r="E19" s="121" t="e">
        <f>PLAN!#REF!</f>
        <v>#REF!</v>
      </c>
      <c r="F19" s="227" t="e">
        <f>PLAN!#REF!</f>
        <v>#REF!</v>
      </c>
      <c r="G19" s="227" t="e">
        <f t="shared" si="0"/>
        <v>#REF!</v>
      </c>
      <c r="H19" s="227"/>
      <c r="I19" s="227">
        <v>450</v>
      </c>
      <c r="J19" s="227">
        <f t="shared" si="1"/>
        <v>450</v>
      </c>
      <c r="K19" s="227" t="e">
        <f t="shared" si="2"/>
        <v>#REF!</v>
      </c>
      <c r="L19" s="300" t="e">
        <f t="shared" si="3"/>
        <v>#REF!</v>
      </c>
      <c r="M19" s="227" t="e">
        <f t="shared" si="4"/>
        <v>#REF!</v>
      </c>
      <c r="N19" s="324" t="e">
        <f t="shared" si="5"/>
        <v>#REF!</v>
      </c>
      <c r="O19" s="227" t="e">
        <f t="shared" si="6"/>
        <v>#REF!</v>
      </c>
      <c r="P19" s="216"/>
      <c r="Q19" s="226"/>
      <c r="R19" s="230"/>
      <c r="S19" s="230"/>
      <c r="T19" s="231"/>
      <c r="U19" s="144"/>
      <c r="V19" s="216"/>
      <c r="W19" s="216"/>
      <c r="X19" s="216"/>
      <c r="Y19" s="216"/>
      <c r="Z19" s="216"/>
      <c r="AA19" s="216"/>
      <c r="AB19" s="216"/>
      <c r="AC19" s="216"/>
      <c r="AD19" s="216"/>
      <c r="AE19" s="216"/>
      <c r="AF19" s="216"/>
      <c r="AG19" s="216"/>
      <c r="AH19" s="216"/>
      <c r="AI19" s="216"/>
    </row>
    <row r="20" spans="1:35" ht="13.9" customHeight="1" x14ac:dyDescent="0.2">
      <c r="A20" s="296" t="str">
        <f>PLAN!A21</f>
        <v>3.2</v>
      </c>
      <c r="B20" s="303"/>
      <c r="C20" s="299" t="str">
        <f>PLAN!C21</f>
        <v>EXECUÇÃO DE CANTEIROS</v>
      </c>
      <c r="D20" s="296">
        <f>PLAN!D21</f>
        <v>0</v>
      </c>
      <c r="E20" s="121"/>
      <c r="F20" s="227"/>
      <c r="G20" s="227"/>
      <c r="H20" s="227"/>
      <c r="I20" s="227"/>
      <c r="J20" s="227"/>
      <c r="K20" s="227"/>
      <c r="L20" s="300"/>
      <c r="M20" s="227"/>
      <c r="N20" s="324"/>
      <c r="O20" s="227"/>
      <c r="P20" s="216"/>
      <c r="Q20" s="226"/>
      <c r="R20" s="230"/>
      <c r="S20" s="230"/>
      <c r="T20" s="231"/>
      <c r="U20" s="144"/>
      <c r="V20" s="216"/>
      <c r="W20" s="216"/>
      <c r="X20" s="216"/>
      <c r="Y20" s="216"/>
      <c r="Z20" s="216"/>
      <c r="AA20" s="216"/>
      <c r="AB20" s="216"/>
      <c r="AC20" s="216"/>
      <c r="AD20" s="216"/>
      <c r="AE20" s="216"/>
      <c r="AF20" s="216"/>
      <c r="AG20" s="216"/>
      <c r="AH20" s="216"/>
      <c r="AI20" s="216"/>
    </row>
    <row r="21" spans="1:35" ht="24" customHeight="1" x14ac:dyDescent="0.2">
      <c r="A21" s="296" t="str">
        <f>PLAN!A22</f>
        <v>3.2.1</v>
      </c>
      <c r="B21" s="303"/>
      <c r="C21" s="299" t="str">
        <f>PLAN!C22</f>
        <v>ESCAVAÇÃO MANUAL DE VALA COM PROFUNDIDADE MENOR OU IGUAL A 1,5M, INCLUSIVE DESCARGA LATERAL</v>
      </c>
      <c r="D21" s="296" t="str">
        <f>PLAN!D22</f>
        <v>M3</v>
      </c>
      <c r="E21" s="121">
        <f>PLAN!E22</f>
        <v>1.77</v>
      </c>
      <c r="F21" s="227">
        <f>PLAN!G22</f>
        <v>101.76</v>
      </c>
      <c r="G21" s="227">
        <f t="shared" si="0"/>
        <v>180.12</v>
      </c>
      <c r="H21" s="227"/>
      <c r="I21" s="227">
        <v>80</v>
      </c>
      <c r="J21" s="227">
        <f t="shared" si="1"/>
        <v>80</v>
      </c>
      <c r="K21" s="227">
        <f t="shared" si="2"/>
        <v>-78.23</v>
      </c>
      <c r="L21" s="300">
        <f t="shared" si="3"/>
        <v>8140.8</v>
      </c>
      <c r="M21" s="227">
        <f t="shared" si="4"/>
        <v>8140.8</v>
      </c>
      <c r="N21" s="324">
        <f t="shared" si="5"/>
        <v>45.1965</v>
      </c>
      <c r="O21" s="227">
        <f t="shared" si="6"/>
        <v>-7960.68</v>
      </c>
      <c r="P21" s="216"/>
      <c r="Q21" s="226"/>
      <c r="R21" s="230"/>
      <c r="S21" s="230"/>
      <c r="T21" s="231"/>
      <c r="U21" s="144"/>
      <c r="V21" s="216"/>
      <c r="W21" s="216"/>
      <c r="X21" s="216"/>
      <c r="Y21" s="216"/>
      <c r="Z21" s="216"/>
      <c r="AA21" s="216"/>
      <c r="AB21" s="216"/>
      <c r="AC21" s="216"/>
      <c r="AD21" s="216"/>
      <c r="AE21" s="216"/>
      <c r="AF21" s="216"/>
      <c r="AG21" s="216"/>
      <c r="AH21" s="216"/>
      <c r="AI21" s="216"/>
    </row>
    <row r="22" spans="1:35" ht="24" customHeight="1" x14ac:dyDescent="0.2">
      <c r="A22" s="296" t="str">
        <f>PLAN!A23</f>
        <v>3.2.2</v>
      </c>
      <c r="B22" s="303"/>
      <c r="C22" s="299" t="str">
        <f>PLAN!C23</f>
        <v>CINTA EM CONCRETO ARMADO</v>
      </c>
      <c r="D22" s="296">
        <f>PLAN!D23</f>
        <v>0</v>
      </c>
      <c r="E22" s="121">
        <f>PLAN!E23</f>
        <v>0</v>
      </c>
      <c r="F22" s="227">
        <f>PLAN!G23</f>
        <v>0</v>
      </c>
      <c r="G22" s="227">
        <f t="shared" si="0"/>
        <v>0</v>
      </c>
      <c r="H22" s="227"/>
      <c r="I22" s="227">
        <v>240</v>
      </c>
      <c r="J22" s="227">
        <f t="shared" si="1"/>
        <v>240</v>
      </c>
      <c r="K22" s="227">
        <f t="shared" si="2"/>
        <v>-240</v>
      </c>
      <c r="L22" s="300">
        <f t="shared" si="3"/>
        <v>0</v>
      </c>
      <c r="M22" s="227">
        <f t="shared" si="4"/>
        <v>0</v>
      </c>
      <c r="N22" s="324" t="e">
        <f t="shared" si="5"/>
        <v>#DIV/0!</v>
      </c>
      <c r="O22" s="227">
        <f t="shared" si="6"/>
        <v>0</v>
      </c>
      <c r="P22" s="216"/>
      <c r="Q22" s="226"/>
      <c r="R22" s="230"/>
      <c r="S22" s="230"/>
      <c r="T22" s="231"/>
      <c r="U22" s="144"/>
      <c r="V22" s="216"/>
      <c r="W22" s="216"/>
      <c r="X22" s="216"/>
      <c r="Y22" s="216"/>
      <c r="Z22" s="216"/>
      <c r="AA22" s="216"/>
      <c r="AB22" s="216"/>
      <c r="AC22" s="216"/>
      <c r="AD22" s="216"/>
      <c r="AE22" s="216"/>
      <c r="AF22" s="216"/>
      <c r="AG22" s="216"/>
      <c r="AH22" s="216"/>
      <c r="AI22" s="216"/>
    </row>
    <row r="23" spans="1:35" ht="13.9" customHeight="1" x14ac:dyDescent="0.2">
      <c r="A23" s="296" t="str">
        <f>PLAN!A27</f>
        <v>3.2.2.4</v>
      </c>
      <c r="B23" s="303"/>
      <c r="C23" s="299" t="str">
        <f>PLAN!C27</f>
        <v>GUIA DE CORDÃO BOLEADO, EM CONCRETO COM FCK 20MPA, PRÉ MOLDADA, 10X10CM (ALTURA X LARGURA), INCLUSIVE UMA (1) FIADA DE BLOCO DE CONCRETO, ESP. 9CM, ESCAVAÇÃO, APILOAMENTO E TRANSPORTE COM RETIRADA DO MATERIAL ESCAVADO (EM CAÇAMBA)</v>
      </c>
      <c r="D23" s="296" t="str">
        <f>PLAN!D27</f>
        <v>M</v>
      </c>
      <c r="E23" s="121">
        <f>PLAN!E27</f>
        <v>59</v>
      </c>
      <c r="F23" s="227">
        <f>PLAN!G27</f>
        <v>78.510000000000005</v>
      </c>
      <c r="G23" s="227">
        <f t="shared" si="0"/>
        <v>4632.09</v>
      </c>
      <c r="H23" s="227"/>
      <c r="I23" s="227">
        <v>11250</v>
      </c>
      <c r="J23" s="227">
        <f t="shared" si="1"/>
        <v>11250</v>
      </c>
      <c r="K23" s="227">
        <f t="shared" si="2"/>
        <v>-11191</v>
      </c>
      <c r="L23" s="300">
        <f t="shared" si="3"/>
        <v>883237.5</v>
      </c>
      <c r="M23" s="227">
        <f t="shared" si="4"/>
        <v>883237.5</v>
      </c>
      <c r="N23" s="324">
        <f t="shared" si="5"/>
        <v>190.678</v>
      </c>
      <c r="O23" s="227">
        <f t="shared" si="6"/>
        <v>-878605.41</v>
      </c>
      <c r="P23" s="216"/>
      <c r="Q23" s="226"/>
      <c r="R23" s="230"/>
      <c r="S23" s="230"/>
      <c r="T23" s="231"/>
      <c r="U23" s="144"/>
      <c r="V23" s="216"/>
      <c r="W23" s="216"/>
      <c r="X23" s="216"/>
      <c r="Y23" s="216"/>
      <c r="Z23" s="216"/>
      <c r="AA23" s="216"/>
      <c r="AB23" s="216"/>
      <c r="AC23" s="216"/>
      <c r="AD23" s="216"/>
      <c r="AE23" s="216"/>
      <c r="AF23" s="216"/>
      <c r="AG23" s="216"/>
      <c r="AH23" s="216"/>
      <c r="AI23" s="216"/>
    </row>
    <row r="24" spans="1:35" ht="13.9" customHeight="1" x14ac:dyDescent="0.2">
      <c r="A24" s="296" t="str">
        <f>PLAN!A29</f>
        <v>3.3.1</v>
      </c>
      <c r="B24" s="303"/>
      <c r="C24" s="299" t="str">
        <f>PLAN!C29</f>
        <v>PLANTIO DE GRAMA ESMERALDA EM PLACAS, INCLUSIVE TERRA VEGETAL E CONSERVAÇÃO POR TRINTA (30) DIAS</v>
      </c>
      <c r="D24" s="296" t="str">
        <f>PLAN!D29</f>
        <v>M2</v>
      </c>
      <c r="E24" s="121">
        <f>PLAN!E29</f>
        <v>74.34</v>
      </c>
      <c r="F24" s="227">
        <f>PLAN!G29</f>
        <v>48.6</v>
      </c>
      <c r="G24" s="227">
        <f t="shared" si="0"/>
        <v>3612.92</v>
      </c>
      <c r="H24" s="227"/>
      <c r="I24" s="227">
        <v>562.5</v>
      </c>
      <c r="J24" s="227">
        <f t="shared" si="1"/>
        <v>562.5</v>
      </c>
      <c r="K24" s="227">
        <f t="shared" si="2"/>
        <v>-488.15999999999997</v>
      </c>
      <c r="L24" s="300">
        <f t="shared" si="3"/>
        <v>27337.5</v>
      </c>
      <c r="M24" s="227">
        <f t="shared" si="4"/>
        <v>27337.5</v>
      </c>
      <c r="N24" s="324">
        <f t="shared" si="5"/>
        <v>7.5666000000000002</v>
      </c>
      <c r="O24" s="227">
        <f t="shared" si="6"/>
        <v>-23724.58</v>
      </c>
      <c r="P24" s="216"/>
      <c r="Q24" s="226"/>
      <c r="R24" s="230"/>
      <c r="S24" s="230"/>
      <c r="T24" s="231"/>
      <c r="U24" s="144"/>
      <c r="V24" s="216"/>
      <c r="W24" s="216"/>
      <c r="X24" s="216"/>
      <c r="Y24" s="216"/>
      <c r="Z24" s="216"/>
      <c r="AA24" s="216"/>
      <c r="AB24" s="216"/>
      <c r="AC24" s="216"/>
      <c r="AD24" s="216"/>
      <c r="AE24" s="216"/>
      <c r="AF24" s="216"/>
      <c r="AG24" s="216"/>
      <c r="AH24" s="216"/>
      <c r="AI24" s="216"/>
    </row>
    <row r="25" spans="1:35" ht="24" customHeight="1" x14ac:dyDescent="0.2">
      <c r="A25" s="296" t="str">
        <f>PLAN!A30</f>
        <v>3.3.2</v>
      </c>
      <c r="B25" s="303"/>
      <c r="C25" s="299" t="str">
        <f>PLAN!C30</f>
        <v>FORNECIMENTO DE ARBUSTO BELA EMÍLIA COM ALTURA MÍNIMA DE 15CM, EXCLUSIVE PLANTIO</v>
      </c>
      <c r="D25" s="296" t="str">
        <f>PLAN!D30</f>
        <v>UNID</v>
      </c>
      <c r="E25" s="121">
        <f>PLAN!E30</f>
        <v>10</v>
      </c>
      <c r="F25" s="227">
        <f>PLAN!G30</f>
        <v>8.5399999999999991</v>
      </c>
      <c r="G25" s="227">
        <f t="shared" si="0"/>
        <v>85.4</v>
      </c>
      <c r="H25" s="227"/>
      <c r="I25" s="227">
        <v>225</v>
      </c>
      <c r="J25" s="227">
        <f t="shared" si="1"/>
        <v>225</v>
      </c>
      <c r="K25" s="227">
        <f t="shared" si="2"/>
        <v>-215</v>
      </c>
      <c r="L25" s="300">
        <f t="shared" si="3"/>
        <v>1921.5</v>
      </c>
      <c r="M25" s="227">
        <f t="shared" si="4"/>
        <v>1921.5</v>
      </c>
      <c r="N25" s="324">
        <f t="shared" si="5"/>
        <v>22.5</v>
      </c>
      <c r="O25" s="227">
        <f t="shared" si="6"/>
        <v>-1836.1</v>
      </c>
      <c r="P25" s="216"/>
      <c r="Q25" s="226"/>
      <c r="R25" s="230"/>
      <c r="S25" s="230"/>
      <c r="T25" s="231"/>
      <c r="U25" s="144"/>
      <c r="V25" s="216"/>
      <c r="W25" s="216"/>
      <c r="X25" s="216"/>
      <c r="Y25" s="216"/>
      <c r="Z25" s="216"/>
      <c r="AA25" s="216"/>
      <c r="AB25" s="216"/>
      <c r="AC25" s="216"/>
      <c r="AD25" s="216"/>
      <c r="AE25" s="216"/>
      <c r="AF25" s="216"/>
      <c r="AG25" s="216"/>
      <c r="AH25" s="216"/>
      <c r="AI25" s="216"/>
    </row>
    <row r="26" spans="1:35" ht="13.9" customHeight="1" x14ac:dyDescent="0.2">
      <c r="A26" s="296" t="e">
        <f>PLAN!#REF!</f>
        <v>#REF!</v>
      </c>
      <c r="B26" s="303"/>
      <c r="C26" s="299" t="e">
        <f>PLAN!#REF!</f>
        <v>#REF!</v>
      </c>
      <c r="D26" s="296" t="e">
        <f>PLAN!#REF!</f>
        <v>#REF!</v>
      </c>
      <c r="E26" s="121" t="e">
        <f>PLAN!#REF!</f>
        <v>#REF!</v>
      </c>
      <c r="F26" s="227" t="e">
        <f>PLAN!#REF!</f>
        <v>#REF!</v>
      </c>
      <c r="G26" s="227" t="e">
        <f t="shared" si="0"/>
        <v>#REF!</v>
      </c>
      <c r="H26" s="227"/>
      <c r="I26" s="227">
        <v>16875</v>
      </c>
      <c r="J26" s="227">
        <f t="shared" si="1"/>
        <v>16875</v>
      </c>
      <c r="K26" s="227" t="e">
        <f t="shared" si="2"/>
        <v>#REF!</v>
      </c>
      <c r="L26" s="300" t="e">
        <f t="shared" si="3"/>
        <v>#REF!</v>
      </c>
      <c r="M26" s="227" t="e">
        <f t="shared" si="4"/>
        <v>#REF!</v>
      </c>
      <c r="N26" s="324" t="e">
        <f t="shared" si="5"/>
        <v>#REF!</v>
      </c>
      <c r="O26" s="227" t="e">
        <f t="shared" si="6"/>
        <v>#REF!</v>
      </c>
      <c r="P26" s="216"/>
      <c r="Q26" s="226"/>
      <c r="R26" s="230"/>
      <c r="S26" s="230"/>
      <c r="T26" s="231"/>
      <c r="U26" s="144"/>
      <c r="V26" s="216"/>
      <c r="W26" s="216"/>
      <c r="X26" s="216"/>
      <c r="Y26" s="216"/>
      <c r="Z26" s="216"/>
      <c r="AA26" s="216"/>
      <c r="AB26" s="216"/>
      <c r="AC26" s="216"/>
      <c r="AD26" s="216"/>
      <c r="AE26" s="216"/>
      <c r="AF26" s="216"/>
      <c r="AG26" s="216"/>
      <c r="AH26" s="216"/>
      <c r="AI26" s="216"/>
    </row>
    <row r="27" spans="1:35" ht="13.9" customHeight="1" x14ac:dyDescent="0.2">
      <c r="A27" s="296" t="e">
        <f>PLAN!#REF!</f>
        <v>#REF!</v>
      </c>
      <c r="B27" s="303"/>
      <c r="C27" s="299" t="e">
        <f>PLAN!#REF!</f>
        <v>#REF!</v>
      </c>
      <c r="D27" s="296" t="e">
        <f>PLAN!#REF!</f>
        <v>#REF!</v>
      </c>
      <c r="E27" s="121"/>
      <c r="F27" s="227"/>
      <c r="G27" s="227"/>
      <c r="H27" s="227"/>
      <c r="I27" s="227"/>
      <c r="J27" s="227"/>
      <c r="K27" s="227"/>
      <c r="L27" s="300"/>
      <c r="M27" s="227"/>
      <c r="N27" s="324"/>
      <c r="O27" s="227"/>
      <c r="P27" s="216"/>
      <c r="Q27" s="226"/>
      <c r="R27" s="230"/>
      <c r="S27" s="230"/>
      <c r="T27" s="231"/>
      <c r="U27" s="144"/>
      <c r="V27" s="216"/>
      <c r="W27" s="216"/>
      <c r="X27" s="216"/>
      <c r="Y27" s="216"/>
      <c r="Z27" s="216"/>
      <c r="AA27" s="216"/>
      <c r="AB27" s="216"/>
      <c r="AC27" s="216"/>
      <c r="AD27" s="216"/>
      <c r="AE27" s="216"/>
      <c r="AF27" s="216"/>
      <c r="AG27" s="216"/>
      <c r="AH27" s="216"/>
      <c r="AI27" s="216"/>
    </row>
    <row r="28" spans="1:35" ht="13.9" customHeight="1" x14ac:dyDescent="0.2">
      <c r="A28" s="296" t="e">
        <f>PLAN!#REF!</f>
        <v>#REF!</v>
      </c>
      <c r="B28" s="303"/>
      <c r="C28" s="299" t="e">
        <f>PLAN!#REF!</f>
        <v>#REF!</v>
      </c>
      <c r="D28" s="296" t="e">
        <f>PLAN!#REF!</f>
        <v>#REF!</v>
      </c>
      <c r="E28" s="121" t="e">
        <f>PLAN!#REF!</f>
        <v>#REF!</v>
      </c>
      <c r="F28" s="227" t="e">
        <f>PLAN!#REF!</f>
        <v>#REF!</v>
      </c>
      <c r="G28" s="227" t="e">
        <f t="shared" si="0"/>
        <v>#REF!</v>
      </c>
      <c r="H28" s="227"/>
      <c r="I28" s="227">
        <v>200</v>
      </c>
      <c r="J28" s="227">
        <f t="shared" si="1"/>
        <v>200</v>
      </c>
      <c r="K28" s="227" t="e">
        <f t="shared" si="2"/>
        <v>#REF!</v>
      </c>
      <c r="L28" s="300" t="e">
        <f t="shared" si="3"/>
        <v>#REF!</v>
      </c>
      <c r="M28" s="227" t="e">
        <f t="shared" si="4"/>
        <v>#REF!</v>
      </c>
      <c r="N28" s="324" t="e">
        <f t="shared" si="5"/>
        <v>#REF!</v>
      </c>
      <c r="O28" s="227" t="e">
        <f t="shared" si="6"/>
        <v>#REF!</v>
      </c>
      <c r="P28" s="216"/>
      <c r="Q28" s="226"/>
      <c r="R28" s="230"/>
      <c r="S28" s="230"/>
      <c r="T28" s="231"/>
      <c r="U28" s="144"/>
      <c r="V28" s="216"/>
      <c r="W28" s="216"/>
      <c r="X28" s="216"/>
      <c r="Y28" s="216"/>
      <c r="Z28" s="216"/>
      <c r="AA28" s="216"/>
      <c r="AB28" s="216"/>
      <c r="AC28" s="216"/>
      <c r="AD28" s="216"/>
      <c r="AE28" s="216"/>
      <c r="AF28" s="216"/>
      <c r="AG28" s="216"/>
      <c r="AH28" s="216"/>
      <c r="AI28" s="216"/>
    </row>
    <row r="29" spans="1:35" ht="13.9" customHeight="1" x14ac:dyDescent="0.2">
      <c r="A29" s="296" t="e">
        <f>PLAN!#REF!</f>
        <v>#REF!</v>
      </c>
      <c r="B29" s="303"/>
      <c r="C29" s="299" t="e">
        <f>PLAN!#REF!</f>
        <v>#REF!</v>
      </c>
      <c r="D29" s="296" t="e">
        <f>PLAN!#REF!</f>
        <v>#REF!</v>
      </c>
      <c r="E29" s="121" t="e">
        <f>PLAN!#REF!</f>
        <v>#REF!</v>
      </c>
      <c r="F29" s="227" t="e">
        <f>PLAN!#REF!</f>
        <v>#REF!</v>
      </c>
      <c r="G29" s="227" t="e">
        <f t="shared" si="0"/>
        <v>#REF!</v>
      </c>
      <c r="H29" s="227"/>
      <c r="I29" s="227">
        <v>200</v>
      </c>
      <c r="J29" s="227">
        <f t="shared" si="1"/>
        <v>200</v>
      </c>
      <c r="K29" s="227" t="e">
        <f t="shared" si="2"/>
        <v>#REF!</v>
      </c>
      <c r="L29" s="300" t="e">
        <f t="shared" si="3"/>
        <v>#REF!</v>
      </c>
      <c r="M29" s="227" t="e">
        <f t="shared" si="4"/>
        <v>#REF!</v>
      </c>
      <c r="N29" s="324" t="e">
        <f t="shared" si="5"/>
        <v>#REF!</v>
      </c>
      <c r="O29" s="227" t="e">
        <f t="shared" si="6"/>
        <v>#REF!</v>
      </c>
      <c r="P29" s="216"/>
      <c r="Q29" s="226"/>
      <c r="R29" s="230"/>
      <c r="S29" s="230"/>
      <c r="T29" s="231"/>
      <c r="U29" s="144"/>
      <c r="V29" s="216"/>
      <c r="W29" s="216"/>
      <c r="X29" s="216"/>
      <c r="Y29" s="216"/>
      <c r="Z29" s="216"/>
      <c r="AA29" s="216"/>
      <c r="AB29" s="216"/>
      <c r="AC29" s="216"/>
      <c r="AD29" s="216"/>
      <c r="AE29" s="216"/>
      <c r="AF29" s="216"/>
      <c r="AG29" s="216"/>
      <c r="AH29" s="216"/>
      <c r="AI29" s="216"/>
    </row>
    <row r="30" spans="1:35" ht="13.9" customHeight="1" x14ac:dyDescent="0.2">
      <c r="A30" s="296" t="str">
        <f>PLAN!A70</f>
        <v>4.4</v>
      </c>
      <c r="B30" s="303"/>
      <c r="C30" s="299" t="str">
        <f>PLAN!C70</f>
        <v>DRENAGEM PLUVIAL</v>
      </c>
      <c r="D30" s="296">
        <f>PLAN!D70</f>
        <v>0</v>
      </c>
      <c r="E30" s="121"/>
      <c r="F30" s="227"/>
      <c r="G30" s="227"/>
      <c r="H30" s="227"/>
      <c r="I30" s="227"/>
      <c r="J30" s="227"/>
      <c r="K30" s="227"/>
      <c r="L30" s="300"/>
      <c r="M30" s="227"/>
      <c r="N30" s="324"/>
      <c r="O30" s="227"/>
      <c r="P30" s="216"/>
      <c r="Q30" s="226"/>
      <c r="R30" s="230"/>
      <c r="S30" s="230"/>
      <c r="T30" s="231"/>
      <c r="U30" s="144"/>
      <c r="V30" s="216"/>
      <c r="W30" s="216"/>
      <c r="X30" s="216"/>
      <c r="Y30" s="216"/>
      <c r="Z30" s="216"/>
      <c r="AA30" s="216"/>
      <c r="AB30" s="216"/>
      <c r="AC30" s="216"/>
      <c r="AD30" s="216"/>
      <c r="AE30" s="216"/>
      <c r="AF30" s="216"/>
      <c r="AG30" s="216"/>
      <c r="AH30" s="216"/>
      <c r="AI30" s="216"/>
    </row>
    <row r="31" spans="1:35" ht="24" customHeight="1" x14ac:dyDescent="0.2">
      <c r="A31" s="296" t="str">
        <f>PLAN!A74</f>
        <v>4.4.4</v>
      </c>
      <c r="B31" s="303"/>
      <c r="C31" s="299" t="str">
        <f>PLAN!C74</f>
        <v>ESCAVAÇÃO MECÂNICA DE VALAS COM PROFUNDIDADE MENOR OU IGUAL A 1,5M, INCLUSIVE CARGA EM CAMINHÃO, EXCLUSIVE TRANSPORTE E DESCARGA</v>
      </c>
      <c r="D31" s="296" t="str">
        <f>PLAN!D74</f>
        <v>M3</v>
      </c>
      <c r="E31" s="121">
        <f>PLAN!E74</f>
        <v>203.72</v>
      </c>
      <c r="F31" s="227">
        <f>PLAN!G74</f>
        <v>14.52</v>
      </c>
      <c r="G31" s="227">
        <f t="shared" si="0"/>
        <v>2958.01</v>
      </c>
      <c r="H31" s="227"/>
      <c r="I31" s="227">
        <v>8</v>
      </c>
      <c r="J31" s="227">
        <f t="shared" si="1"/>
        <v>8</v>
      </c>
      <c r="K31" s="227">
        <f t="shared" si="2"/>
        <v>195.72</v>
      </c>
      <c r="L31" s="300">
        <f t="shared" si="3"/>
        <v>116.16</v>
      </c>
      <c r="M31" s="227">
        <f t="shared" si="4"/>
        <v>116.16</v>
      </c>
      <c r="N31" s="324">
        <f t="shared" si="5"/>
        <v>3.9300000000000002E-2</v>
      </c>
      <c r="O31" s="227">
        <f t="shared" si="6"/>
        <v>2841.8500000000004</v>
      </c>
      <c r="P31" s="216"/>
      <c r="Q31" s="226"/>
      <c r="R31" s="230"/>
      <c r="S31" s="230"/>
      <c r="T31" s="231"/>
      <c r="U31" s="144"/>
      <c r="V31" s="216"/>
      <c r="W31" s="216"/>
      <c r="X31" s="216"/>
      <c r="Y31" s="216"/>
      <c r="Z31" s="216"/>
      <c r="AA31" s="216"/>
      <c r="AB31" s="216"/>
      <c r="AC31" s="216"/>
      <c r="AD31" s="216"/>
      <c r="AE31" s="216"/>
      <c r="AF31" s="216"/>
      <c r="AG31" s="216"/>
      <c r="AH31" s="216"/>
      <c r="AI31" s="216"/>
    </row>
    <row r="32" spans="1:35" ht="24" customHeight="1" x14ac:dyDescent="0.2">
      <c r="A32" s="296" t="e">
        <f>PLAN!#REF!</f>
        <v>#REF!</v>
      </c>
      <c r="B32" s="303"/>
      <c r="C32" s="299" t="e">
        <f>PLAN!#REF!</f>
        <v>#REF!</v>
      </c>
      <c r="D32" s="296" t="e">
        <f>PLAN!#REF!</f>
        <v>#REF!</v>
      </c>
      <c r="E32" s="121" t="e">
        <f>PLAN!#REF!</f>
        <v>#REF!</v>
      </c>
      <c r="F32" s="227" t="e">
        <f>PLAN!#REF!</f>
        <v>#REF!</v>
      </c>
      <c r="G32" s="227" t="e">
        <f t="shared" si="0"/>
        <v>#REF!</v>
      </c>
      <c r="H32" s="227"/>
      <c r="I32" s="227">
        <v>16</v>
      </c>
      <c r="J32" s="227">
        <f t="shared" si="1"/>
        <v>16</v>
      </c>
      <c r="K32" s="227" t="e">
        <f t="shared" si="2"/>
        <v>#REF!</v>
      </c>
      <c r="L32" s="300" t="e">
        <f t="shared" si="3"/>
        <v>#REF!</v>
      </c>
      <c r="M32" s="227" t="e">
        <f t="shared" si="4"/>
        <v>#REF!</v>
      </c>
      <c r="N32" s="324" t="e">
        <f t="shared" si="5"/>
        <v>#REF!</v>
      </c>
      <c r="O32" s="227" t="e">
        <f t="shared" si="6"/>
        <v>#REF!</v>
      </c>
      <c r="P32" s="216"/>
      <c r="Q32" s="226"/>
      <c r="R32" s="230"/>
      <c r="S32" s="230"/>
      <c r="T32" s="231"/>
      <c r="U32" s="144"/>
      <c r="V32" s="216"/>
      <c r="W32" s="216"/>
      <c r="X32" s="216"/>
      <c r="Y32" s="216"/>
      <c r="Z32" s="216"/>
      <c r="AA32" s="216"/>
      <c r="AB32" s="216"/>
      <c r="AC32" s="216"/>
      <c r="AD32" s="216"/>
      <c r="AE32" s="216"/>
      <c r="AF32" s="216"/>
      <c r="AG32" s="216"/>
      <c r="AH32" s="216"/>
      <c r="AI32" s="216"/>
    </row>
    <row r="33" spans="1:35" ht="13.9" customHeight="1" x14ac:dyDescent="0.2">
      <c r="A33" s="296" t="str">
        <f>PLAN!A76</f>
        <v>4.4.6</v>
      </c>
      <c r="B33" s="303"/>
      <c r="C33" s="299" t="str">
        <f>PLAN!C76</f>
        <v>APILOAMENTO DO FUNDO DE VALAS COM PLACA VIBRATÓRIA</v>
      </c>
      <c r="D33" s="296" t="str">
        <f>PLAN!D76</f>
        <v>M2</v>
      </c>
      <c r="E33" s="121">
        <f>PLAN!E76</f>
        <v>142.82</v>
      </c>
      <c r="F33" s="227">
        <f>PLAN!G76</f>
        <v>19.3</v>
      </c>
      <c r="G33" s="227">
        <f t="shared" si="0"/>
        <v>2756.43</v>
      </c>
      <c r="H33" s="227"/>
      <c r="I33" s="227">
        <v>41.6</v>
      </c>
      <c r="J33" s="227">
        <f t="shared" si="1"/>
        <v>41.6</v>
      </c>
      <c r="K33" s="227">
        <f t="shared" si="2"/>
        <v>101.22</v>
      </c>
      <c r="L33" s="300">
        <f t="shared" si="3"/>
        <v>802.88</v>
      </c>
      <c r="M33" s="227">
        <f t="shared" si="4"/>
        <v>802.88</v>
      </c>
      <c r="N33" s="324">
        <f t="shared" si="5"/>
        <v>0.2913</v>
      </c>
      <c r="O33" s="227">
        <f t="shared" si="6"/>
        <v>1953.5499999999997</v>
      </c>
      <c r="P33" s="216"/>
      <c r="Q33" s="226"/>
      <c r="R33" s="230"/>
      <c r="S33" s="230"/>
      <c r="T33" s="231"/>
      <c r="U33" s="144"/>
      <c r="V33" s="216"/>
      <c r="W33" s="216"/>
      <c r="X33" s="216"/>
      <c r="Y33" s="216"/>
      <c r="Z33" s="216"/>
      <c r="AA33" s="216"/>
      <c r="AB33" s="216"/>
      <c r="AC33" s="216"/>
      <c r="AD33" s="216"/>
      <c r="AE33" s="216"/>
      <c r="AF33" s="216"/>
      <c r="AG33" s="216"/>
      <c r="AH33" s="216"/>
      <c r="AI33" s="216"/>
    </row>
    <row r="34" spans="1:35" ht="24" customHeight="1" x14ac:dyDescent="0.2">
      <c r="A34" s="296" t="str">
        <f>PLAN!A80</f>
        <v>4.4.10</v>
      </c>
      <c r="B34" s="303"/>
      <c r="C34" s="299" t="str">
        <f>PLAN!C80</f>
        <v>TUBO DE CONCRETO ARMADO, CLASSE PA1, DIÂMETRO DE 800MM, INCLUSIVE CARGA E DESCARGA MECÂNICA EM CAMINHÃO, ASSENTAMENTO E REJUNTAMENTO, EXCLUSIVE ESCAVAÇÃO E TRANSPORTE</v>
      </c>
      <c r="D34" s="296" t="str">
        <f>PLAN!D80</f>
        <v>M</v>
      </c>
      <c r="E34" s="121">
        <f>PLAN!E80</f>
        <v>77</v>
      </c>
      <c r="F34" s="227">
        <f>PLAN!G80</f>
        <v>523.26</v>
      </c>
      <c r="G34" s="227">
        <f t="shared" si="0"/>
        <v>40291.019999999997</v>
      </c>
      <c r="H34" s="227"/>
      <c r="I34" s="227">
        <v>32</v>
      </c>
      <c r="J34" s="227">
        <f t="shared" si="1"/>
        <v>32</v>
      </c>
      <c r="K34" s="227">
        <f t="shared" si="2"/>
        <v>45</v>
      </c>
      <c r="L34" s="300">
        <f t="shared" si="3"/>
        <v>16744.32</v>
      </c>
      <c r="M34" s="227">
        <f t="shared" si="4"/>
        <v>16744.32</v>
      </c>
      <c r="N34" s="324">
        <f t="shared" si="5"/>
        <v>0.41560000000000002</v>
      </c>
      <c r="O34" s="227">
        <f t="shared" si="6"/>
        <v>23546.699999999997</v>
      </c>
      <c r="P34" s="216"/>
      <c r="Q34" s="226"/>
      <c r="R34" s="230"/>
      <c r="S34" s="230"/>
      <c r="T34" s="231"/>
      <c r="U34" s="144"/>
      <c r="V34" s="216"/>
      <c r="W34" s="216"/>
      <c r="X34" s="216"/>
      <c r="Y34" s="216"/>
      <c r="Z34" s="216"/>
      <c r="AA34" s="216"/>
      <c r="AB34" s="216"/>
      <c r="AC34" s="216"/>
      <c r="AD34" s="216"/>
      <c r="AE34" s="216"/>
      <c r="AF34" s="216"/>
      <c r="AG34" s="216"/>
      <c r="AH34" s="216"/>
      <c r="AI34" s="216"/>
    </row>
    <row r="35" spans="1:35" ht="13.9" customHeight="1" x14ac:dyDescent="0.2">
      <c r="A35" s="296" t="str">
        <f>PLAN!A81</f>
        <v>4.4.11</v>
      </c>
      <c r="B35" s="303"/>
      <c r="C35" s="299" t="str">
        <f>PLAN!C81</f>
        <v>REATERRO COMPACTADO DE VALA COM EQUIPAMENTO PLACA VIBRATÓRIA</v>
      </c>
      <c r="D35" s="296" t="str">
        <f>PLAN!D81</f>
        <v>M3</v>
      </c>
      <c r="E35" s="121">
        <f>PLAN!E81</f>
        <v>148.76</v>
      </c>
      <c r="F35" s="227">
        <f>PLAN!G81</f>
        <v>63.96</v>
      </c>
      <c r="G35" s="227">
        <f t="shared" si="0"/>
        <v>9514.69</v>
      </c>
      <c r="H35" s="227"/>
      <c r="I35" s="227">
        <v>58.16</v>
      </c>
      <c r="J35" s="227">
        <f t="shared" si="1"/>
        <v>58.16</v>
      </c>
      <c r="K35" s="227">
        <f t="shared" si="2"/>
        <v>90.6</v>
      </c>
      <c r="L35" s="300">
        <f t="shared" si="3"/>
        <v>3719.91</v>
      </c>
      <c r="M35" s="227">
        <f t="shared" si="4"/>
        <v>3719.91</v>
      </c>
      <c r="N35" s="324">
        <f t="shared" si="5"/>
        <v>0.39100000000000001</v>
      </c>
      <c r="O35" s="227">
        <f t="shared" si="6"/>
        <v>5794.7800000000007</v>
      </c>
      <c r="P35" s="216"/>
      <c r="Q35" s="226"/>
      <c r="R35" s="230"/>
      <c r="S35" s="230"/>
      <c r="T35" s="231"/>
      <c r="U35" s="144"/>
      <c r="V35" s="216"/>
      <c r="W35" s="216"/>
      <c r="X35" s="216"/>
      <c r="Y35" s="216"/>
      <c r="Z35" s="216"/>
      <c r="AA35" s="216"/>
      <c r="AB35" s="216"/>
      <c r="AC35" s="216"/>
      <c r="AD35" s="216"/>
      <c r="AE35" s="216"/>
      <c r="AF35" s="216"/>
      <c r="AG35" s="216"/>
      <c r="AH35" s="216"/>
      <c r="AI35" s="216"/>
    </row>
    <row r="36" spans="1:35" ht="24" customHeight="1" x14ac:dyDescent="0.2">
      <c r="A36" s="296" t="str">
        <f>PLAN!A83</f>
        <v>4.4.13</v>
      </c>
      <c r="B36" s="303"/>
      <c r="C36" s="299" t="str">
        <f>PLAN!C83</f>
        <v>Boca de Lobo Simples combinada com grelha, quadro e cantoneira pré moldados de concreto   BLS 01 areia e brita comerciais (Execução, incluindo escavação, fornecimento, carga e transporte de todos os materiais)   (Caderno de Drenagem RT 01.47.d)</v>
      </c>
      <c r="D36" s="296" t="str">
        <f>PLAN!D83</f>
        <v>UNID</v>
      </c>
      <c r="E36" s="121">
        <f>PLAN!E83</f>
        <v>8</v>
      </c>
      <c r="F36" s="227">
        <f>PLAN!G83</f>
        <v>1655.66</v>
      </c>
      <c r="G36" s="227">
        <f t="shared" si="0"/>
        <v>13245.28</v>
      </c>
      <c r="H36" s="227"/>
      <c r="I36" s="227">
        <v>8</v>
      </c>
      <c r="J36" s="227">
        <f t="shared" si="1"/>
        <v>8</v>
      </c>
      <c r="K36" s="227">
        <f t="shared" si="2"/>
        <v>0</v>
      </c>
      <c r="L36" s="300">
        <f t="shared" si="3"/>
        <v>13245.28</v>
      </c>
      <c r="M36" s="227">
        <f t="shared" si="4"/>
        <v>13245.28</v>
      </c>
      <c r="N36" s="324">
        <f t="shared" si="5"/>
        <v>1</v>
      </c>
      <c r="O36" s="227">
        <f t="shared" si="6"/>
        <v>0</v>
      </c>
      <c r="P36" s="216"/>
      <c r="Q36" s="226"/>
      <c r="R36" s="230"/>
      <c r="S36" s="230"/>
      <c r="T36" s="231"/>
      <c r="U36" s="144"/>
      <c r="V36" s="216"/>
      <c r="W36" s="216"/>
      <c r="X36" s="216"/>
      <c r="Y36" s="216"/>
      <c r="Z36" s="216"/>
      <c r="AA36" s="216"/>
      <c r="AB36" s="216"/>
      <c r="AC36" s="216"/>
      <c r="AD36" s="216"/>
      <c r="AE36" s="216"/>
      <c r="AF36" s="216"/>
      <c r="AG36" s="216"/>
      <c r="AH36" s="216"/>
      <c r="AI36" s="216"/>
    </row>
    <row r="37" spans="1:35" ht="13.9" customHeight="1" x14ac:dyDescent="0.2">
      <c r="A37" s="296" t="e">
        <f>PLAN!#REF!</f>
        <v>#REF!</v>
      </c>
      <c r="B37" s="303"/>
      <c r="C37" s="299" t="e">
        <f>PLAN!#REF!</f>
        <v>#REF!</v>
      </c>
      <c r="D37" s="296" t="e">
        <f>PLAN!#REF!</f>
        <v>#REF!</v>
      </c>
      <c r="E37" s="121"/>
      <c r="F37" s="227"/>
      <c r="G37" s="227"/>
      <c r="H37" s="227"/>
      <c r="I37" s="227"/>
      <c r="J37" s="227"/>
      <c r="K37" s="227"/>
      <c r="L37" s="300"/>
      <c r="M37" s="227"/>
      <c r="N37" s="324"/>
      <c r="O37" s="227"/>
      <c r="P37" s="216"/>
      <c r="Q37" s="226"/>
      <c r="R37" s="230"/>
      <c r="S37" s="230"/>
      <c r="T37" s="231"/>
      <c r="U37" s="144"/>
      <c r="V37" s="216"/>
      <c r="W37" s="216"/>
      <c r="X37" s="216"/>
      <c r="Y37" s="216"/>
      <c r="Z37" s="216"/>
      <c r="AA37" s="216"/>
      <c r="AB37" s="216"/>
      <c r="AC37" s="216"/>
      <c r="AD37" s="216"/>
      <c r="AE37" s="216"/>
      <c r="AF37" s="216"/>
      <c r="AG37" s="216"/>
      <c r="AH37" s="216"/>
      <c r="AI37" s="216"/>
    </row>
    <row r="38" spans="1:35" ht="24" customHeight="1" x14ac:dyDescent="0.2">
      <c r="A38" s="296" t="e">
        <f>PLAN!#REF!</f>
        <v>#REF!</v>
      </c>
      <c r="B38" s="303"/>
      <c r="C38" s="299" t="e">
        <f>PLAN!#REF!</f>
        <v>#REF!</v>
      </c>
      <c r="D38" s="296" t="e">
        <f>PLAN!#REF!</f>
        <v>#REF!</v>
      </c>
      <c r="E38" s="121" t="e">
        <f>PLAN!#REF!</f>
        <v>#REF!</v>
      </c>
      <c r="F38" s="227" t="e">
        <f>PLAN!#REF!</f>
        <v>#REF!</v>
      </c>
      <c r="G38" s="227" t="e">
        <f t="shared" si="0"/>
        <v>#REF!</v>
      </c>
      <c r="H38" s="227"/>
      <c r="I38" s="227">
        <v>3.52</v>
      </c>
      <c r="J38" s="227">
        <f t="shared" si="1"/>
        <v>3.52</v>
      </c>
      <c r="K38" s="227" t="e">
        <f t="shared" si="2"/>
        <v>#REF!</v>
      </c>
      <c r="L38" s="300" t="e">
        <f t="shared" si="3"/>
        <v>#REF!</v>
      </c>
      <c r="M38" s="227" t="e">
        <f t="shared" si="4"/>
        <v>#REF!</v>
      </c>
      <c r="N38" s="324" t="e">
        <f t="shared" si="5"/>
        <v>#REF!</v>
      </c>
      <c r="O38" s="227" t="e">
        <f t="shared" si="6"/>
        <v>#REF!</v>
      </c>
      <c r="P38" s="216"/>
      <c r="Q38" s="226"/>
      <c r="R38" s="230"/>
      <c r="S38" s="230"/>
      <c r="T38" s="231"/>
      <c r="U38" s="144"/>
      <c r="V38" s="216"/>
      <c r="W38" s="216"/>
      <c r="X38" s="216"/>
      <c r="Y38" s="216"/>
      <c r="Z38" s="216"/>
      <c r="AA38" s="216"/>
      <c r="AB38" s="216"/>
      <c r="AC38" s="216"/>
      <c r="AD38" s="216"/>
      <c r="AE38" s="216"/>
      <c r="AF38" s="216"/>
      <c r="AG38" s="216"/>
      <c r="AH38" s="216"/>
      <c r="AI38" s="216"/>
    </row>
    <row r="39" spans="1:35" ht="13.9" customHeight="1" x14ac:dyDescent="0.2">
      <c r="A39" s="296" t="e">
        <f>PLAN!#REF!</f>
        <v>#REF!</v>
      </c>
      <c r="B39" s="303"/>
      <c r="C39" s="299" t="e">
        <f>PLAN!#REF!</f>
        <v>#REF!</v>
      </c>
      <c r="D39" s="296" t="e">
        <f>PLAN!#REF!</f>
        <v>#REF!</v>
      </c>
      <c r="E39" s="121" t="e">
        <f>PLAN!#REF!</f>
        <v>#REF!</v>
      </c>
      <c r="F39" s="227" t="e">
        <f>PLAN!#REF!</f>
        <v>#REF!</v>
      </c>
      <c r="G39" s="227" t="e">
        <f t="shared" si="0"/>
        <v>#REF!</v>
      </c>
      <c r="H39" s="227"/>
      <c r="I39" s="227">
        <v>21</v>
      </c>
      <c r="J39" s="227">
        <f t="shared" si="1"/>
        <v>21</v>
      </c>
      <c r="K39" s="227" t="e">
        <f t="shared" si="2"/>
        <v>#REF!</v>
      </c>
      <c r="L39" s="300" t="e">
        <f t="shared" si="3"/>
        <v>#REF!</v>
      </c>
      <c r="M39" s="227" t="e">
        <f t="shared" si="4"/>
        <v>#REF!</v>
      </c>
      <c r="N39" s="324" t="e">
        <f t="shared" si="5"/>
        <v>#REF!</v>
      </c>
      <c r="O39" s="227" t="e">
        <f t="shared" si="6"/>
        <v>#REF!</v>
      </c>
      <c r="P39" s="216"/>
      <c r="Q39" s="226"/>
      <c r="R39" s="230"/>
      <c r="S39" s="230"/>
      <c r="T39" s="231"/>
      <c r="U39" s="144"/>
      <c r="V39" s="216"/>
      <c r="W39" s="216"/>
      <c r="X39" s="216"/>
      <c r="Y39" s="216"/>
      <c r="Z39" s="216"/>
      <c r="AA39" s="216"/>
      <c r="AB39" s="216"/>
      <c r="AC39" s="216"/>
      <c r="AD39" s="216"/>
      <c r="AE39" s="216"/>
      <c r="AF39" s="216"/>
      <c r="AG39" s="216"/>
      <c r="AH39" s="216"/>
      <c r="AI39" s="216"/>
    </row>
    <row r="40" spans="1:35" ht="13.9" customHeight="1" x14ac:dyDescent="0.2">
      <c r="A40" s="296" t="e">
        <f>PLAN!#REF!</f>
        <v>#REF!</v>
      </c>
      <c r="B40" s="303"/>
      <c r="C40" s="299" t="e">
        <f>PLAN!#REF!</f>
        <v>#REF!</v>
      </c>
      <c r="D40" s="296" t="e">
        <f>PLAN!#REF!</f>
        <v>#REF!</v>
      </c>
      <c r="E40" s="121" t="e">
        <f>PLAN!#REF!</f>
        <v>#REF!</v>
      </c>
      <c r="F40" s="227" t="e">
        <f>PLAN!#REF!</f>
        <v>#REF!</v>
      </c>
      <c r="G40" s="227" t="e">
        <f t="shared" si="0"/>
        <v>#REF!</v>
      </c>
      <c r="H40" s="227"/>
      <c r="I40" s="227">
        <v>5.12</v>
      </c>
      <c r="J40" s="227">
        <f t="shared" si="1"/>
        <v>5.12</v>
      </c>
      <c r="K40" s="227" t="e">
        <f t="shared" si="2"/>
        <v>#REF!</v>
      </c>
      <c r="L40" s="300" t="e">
        <f t="shared" si="3"/>
        <v>#REF!</v>
      </c>
      <c r="M40" s="227" t="e">
        <f t="shared" si="4"/>
        <v>#REF!</v>
      </c>
      <c r="N40" s="324" t="e">
        <f t="shared" si="5"/>
        <v>#REF!</v>
      </c>
      <c r="O40" s="227" t="e">
        <f t="shared" si="6"/>
        <v>#REF!</v>
      </c>
      <c r="P40" s="216"/>
      <c r="Q40" s="226"/>
      <c r="R40" s="230"/>
      <c r="S40" s="230"/>
      <c r="T40" s="231"/>
      <c r="U40" s="144"/>
      <c r="V40" s="216"/>
      <c r="W40" s="216"/>
      <c r="X40" s="216"/>
      <c r="Y40" s="216"/>
      <c r="Z40" s="216"/>
      <c r="AA40" s="216"/>
      <c r="AB40" s="216"/>
      <c r="AC40" s="216"/>
      <c r="AD40" s="216"/>
      <c r="AE40" s="216"/>
      <c r="AF40" s="216"/>
      <c r="AG40" s="216"/>
      <c r="AH40" s="216"/>
      <c r="AI40" s="216"/>
    </row>
    <row r="41" spans="1:35" ht="13.9" customHeight="1" x14ac:dyDescent="0.2">
      <c r="A41" s="296" t="e">
        <f>PLAN!#REF!</f>
        <v>#REF!</v>
      </c>
      <c r="B41" s="303"/>
      <c r="C41" s="299" t="e">
        <f>PLAN!#REF!</f>
        <v>#REF!</v>
      </c>
      <c r="D41" s="296" t="e">
        <f>PLAN!#REF!</f>
        <v>#REF!</v>
      </c>
      <c r="E41" s="121"/>
      <c r="F41" s="227"/>
      <c r="G41" s="227"/>
      <c r="H41" s="227"/>
      <c r="I41" s="227"/>
      <c r="J41" s="227"/>
      <c r="K41" s="227"/>
      <c r="L41" s="300"/>
      <c r="M41" s="227"/>
      <c r="N41" s="324"/>
      <c r="O41" s="227"/>
      <c r="P41" s="216"/>
      <c r="Q41" s="226"/>
      <c r="R41" s="230"/>
      <c r="S41" s="230"/>
      <c r="T41" s="231"/>
      <c r="U41" s="144"/>
      <c r="V41" s="216"/>
      <c r="W41" s="216"/>
      <c r="X41" s="216"/>
      <c r="Y41" s="216"/>
      <c r="Z41" s="216"/>
      <c r="AA41" s="216"/>
      <c r="AB41" s="216"/>
      <c r="AC41" s="216"/>
      <c r="AD41" s="216"/>
      <c r="AE41" s="216"/>
      <c r="AF41" s="216"/>
      <c r="AG41" s="216"/>
      <c r="AH41" s="216"/>
      <c r="AI41" s="216"/>
    </row>
    <row r="42" spans="1:35" ht="13.9" customHeight="1" x14ac:dyDescent="0.2">
      <c r="A42" s="296" t="e">
        <f>PLAN!#REF!</f>
        <v>#REF!</v>
      </c>
      <c r="B42" s="303"/>
      <c r="C42" s="299" t="e">
        <f>PLAN!#REF!</f>
        <v>#REF!</v>
      </c>
      <c r="D42" s="296" t="e">
        <f>PLAN!#REF!</f>
        <v>#REF!</v>
      </c>
      <c r="E42" s="121" t="e">
        <f>PLAN!#REF!</f>
        <v>#REF!</v>
      </c>
      <c r="F42" s="227" t="e">
        <f>PLAN!#REF!</f>
        <v>#REF!</v>
      </c>
      <c r="G42" s="227" t="e">
        <f t="shared" si="0"/>
        <v>#REF!</v>
      </c>
      <c r="H42" s="227"/>
      <c r="I42" s="227">
        <v>25</v>
      </c>
      <c r="J42" s="227">
        <f t="shared" si="1"/>
        <v>25</v>
      </c>
      <c r="K42" s="227" t="e">
        <f t="shared" si="2"/>
        <v>#REF!</v>
      </c>
      <c r="L42" s="300" t="e">
        <f t="shared" si="3"/>
        <v>#REF!</v>
      </c>
      <c r="M42" s="227" t="e">
        <f t="shared" si="4"/>
        <v>#REF!</v>
      </c>
      <c r="N42" s="324" t="e">
        <f t="shared" si="5"/>
        <v>#REF!</v>
      </c>
      <c r="O42" s="227" t="e">
        <f t="shared" si="6"/>
        <v>#REF!</v>
      </c>
      <c r="P42" s="216"/>
      <c r="Q42" s="226"/>
      <c r="R42" s="230"/>
      <c r="S42" s="230"/>
      <c r="T42" s="231"/>
      <c r="U42" s="144"/>
      <c r="V42" s="216"/>
      <c r="W42" s="216"/>
      <c r="X42" s="216"/>
      <c r="Y42" s="216"/>
      <c r="Z42" s="216"/>
      <c r="AA42" s="216"/>
      <c r="AB42" s="216"/>
      <c r="AC42" s="216"/>
      <c r="AD42" s="216"/>
      <c r="AE42" s="216"/>
      <c r="AF42" s="216"/>
      <c r="AG42" s="216"/>
      <c r="AH42" s="216"/>
      <c r="AI42" s="216"/>
    </row>
    <row r="43" spans="1:35" ht="13.9" customHeight="1" x14ac:dyDescent="0.2">
      <c r="A43" s="296" t="e">
        <f>PLAN!#REF!</f>
        <v>#REF!</v>
      </c>
      <c r="B43" s="303"/>
      <c r="C43" s="299" t="e">
        <f>PLAN!#REF!</f>
        <v>#REF!</v>
      </c>
      <c r="D43" s="296" t="e">
        <f>PLAN!#REF!</f>
        <v>#REF!</v>
      </c>
      <c r="E43" s="121" t="e">
        <f>PLAN!#REF!</f>
        <v>#REF!</v>
      </c>
      <c r="F43" s="227" t="e">
        <f>PLAN!#REF!</f>
        <v>#REF!</v>
      </c>
      <c r="G43" s="227" t="e">
        <f t="shared" si="0"/>
        <v>#REF!</v>
      </c>
      <c r="H43" s="227"/>
      <c r="I43" s="227">
        <v>25</v>
      </c>
      <c r="J43" s="227">
        <f t="shared" si="1"/>
        <v>25</v>
      </c>
      <c r="K43" s="227" t="e">
        <f t="shared" si="2"/>
        <v>#REF!</v>
      </c>
      <c r="L43" s="300" t="e">
        <f t="shared" si="3"/>
        <v>#REF!</v>
      </c>
      <c r="M43" s="227" t="e">
        <f t="shared" si="4"/>
        <v>#REF!</v>
      </c>
      <c r="N43" s="324" t="e">
        <f t="shared" si="5"/>
        <v>#REF!</v>
      </c>
      <c r="O43" s="227" t="e">
        <f t="shared" si="6"/>
        <v>#REF!</v>
      </c>
      <c r="P43" s="216"/>
      <c r="Q43" s="226"/>
      <c r="R43" s="230"/>
      <c r="S43" s="230"/>
      <c r="T43" s="231"/>
      <c r="U43" s="144"/>
      <c r="V43" s="216"/>
      <c r="W43" s="216"/>
      <c r="X43" s="216"/>
      <c r="Y43" s="216"/>
      <c r="Z43" s="216"/>
      <c r="AA43" s="216"/>
      <c r="AB43" s="216"/>
      <c r="AC43" s="216"/>
      <c r="AD43" s="216"/>
      <c r="AE43" s="216"/>
      <c r="AF43" s="216"/>
      <c r="AG43" s="216"/>
      <c r="AH43" s="216"/>
      <c r="AI43" s="216"/>
    </row>
    <row r="44" spans="1:35" ht="13.9" customHeight="1" x14ac:dyDescent="0.2">
      <c r="A44" s="296" t="e">
        <f>PLAN!#REF!</f>
        <v>#REF!</v>
      </c>
      <c r="B44" s="303"/>
      <c r="C44" s="299" t="e">
        <f>PLAN!#REF!</f>
        <v>#REF!</v>
      </c>
      <c r="D44" s="296" t="e">
        <f>PLAN!#REF!</f>
        <v>#REF!</v>
      </c>
      <c r="E44" s="121" t="e">
        <f>PLAN!#REF!</f>
        <v>#REF!</v>
      </c>
      <c r="F44" s="227" t="e">
        <f>PLAN!#REF!</f>
        <v>#REF!</v>
      </c>
      <c r="G44" s="227" t="e">
        <f t="shared" si="0"/>
        <v>#REF!</v>
      </c>
      <c r="H44" s="227"/>
      <c r="I44" s="227">
        <v>50</v>
      </c>
      <c r="J44" s="227">
        <f t="shared" si="1"/>
        <v>50</v>
      </c>
      <c r="K44" s="227" t="e">
        <f t="shared" si="2"/>
        <v>#REF!</v>
      </c>
      <c r="L44" s="300" t="e">
        <f t="shared" si="3"/>
        <v>#REF!</v>
      </c>
      <c r="M44" s="227" t="e">
        <f t="shared" si="4"/>
        <v>#REF!</v>
      </c>
      <c r="N44" s="324" t="e">
        <f t="shared" si="5"/>
        <v>#REF!</v>
      </c>
      <c r="O44" s="227" t="e">
        <f t="shared" si="6"/>
        <v>#REF!</v>
      </c>
      <c r="P44" s="216"/>
      <c r="Q44" s="226"/>
      <c r="R44" s="230"/>
      <c r="S44" s="230"/>
      <c r="T44" s="231"/>
      <c r="U44" s="144"/>
      <c r="V44" s="216"/>
      <c r="W44" s="216"/>
      <c r="X44" s="216"/>
      <c r="Y44" s="216"/>
      <c r="Z44" s="216"/>
      <c r="AA44" s="216"/>
      <c r="AB44" s="216"/>
      <c r="AC44" s="216"/>
      <c r="AD44" s="216"/>
      <c r="AE44" s="216"/>
      <c r="AF44" s="216"/>
      <c r="AG44" s="216"/>
      <c r="AH44" s="216"/>
      <c r="AI44" s="216"/>
    </row>
    <row r="45" spans="1:35" ht="13.9" customHeight="1" x14ac:dyDescent="0.2">
      <c r="A45" s="296"/>
      <c r="B45" s="303"/>
      <c r="C45" s="299"/>
      <c r="D45" s="296"/>
      <c r="E45" s="121"/>
      <c r="F45" s="227"/>
      <c r="G45" s="227"/>
      <c r="H45" s="227"/>
      <c r="I45" s="227"/>
      <c r="J45" s="227"/>
      <c r="K45" s="227"/>
      <c r="L45" s="300"/>
      <c r="M45" s="227"/>
      <c r="N45" s="324"/>
      <c r="O45" s="227"/>
      <c r="P45" s="216"/>
      <c r="Q45" s="226"/>
      <c r="R45" s="230"/>
      <c r="S45" s="230"/>
      <c r="T45" s="231"/>
      <c r="U45" s="144"/>
      <c r="V45" s="216"/>
      <c r="W45" s="216"/>
      <c r="X45" s="216"/>
      <c r="Y45" s="216"/>
      <c r="Z45" s="216"/>
      <c r="AA45" s="216"/>
      <c r="AB45" s="216"/>
      <c r="AC45" s="216"/>
      <c r="AD45" s="216"/>
      <c r="AE45" s="216"/>
      <c r="AF45" s="216"/>
      <c r="AG45" s="216"/>
      <c r="AH45" s="216"/>
      <c r="AI45" s="216"/>
    </row>
    <row r="46" spans="1:35" ht="13.9" customHeight="1" x14ac:dyDescent="0.2">
      <c r="A46" s="296"/>
      <c r="B46" s="303"/>
      <c r="C46" s="299"/>
      <c r="D46" s="296"/>
      <c r="E46" s="121"/>
      <c r="F46" s="227"/>
      <c r="G46" s="227"/>
      <c r="H46" s="227"/>
      <c r="I46" s="227"/>
      <c r="J46" s="227"/>
      <c r="K46" s="227"/>
      <c r="L46" s="300"/>
      <c r="M46" s="227"/>
      <c r="N46" s="324"/>
      <c r="O46" s="227"/>
      <c r="P46" s="216"/>
      <c r="Q46" s="226"/>
      <c r="R46" s="230"/>
      <c r="S46" s="230"/>
      <c r="T46" s="231"/>
      <c r="U46" s="144"/>
      <c r="V46" s="216"/>
      <c r="W46" s="216"/>
      <c r="X46" s="216"/>
      <c r="Y46" s="216"/>
      <c r="Z46" s="216"/>
      <c r="AA46" s="216"/>
      <c r="AB46" s="216"/>
      <c r="AC46" s="216"/>
      <c r="AD46" s="216"/>
      <c r="AE46" s="216"/>
      <c r="AF46" s="216"/>
      <c r="AG46" s="216"/>
      <c r="AH46" s="216"/>
      <c r="AI46" s="216"/>
    </row>
    <row r="47" spans="1:35" ht="13.9" customHeight="1" x14ac:dyDescent="0.2">
      <c r="A47" s="296"/>
      <c r="B47" s="303"/>
      <c r="C47" s="299"/>
      <c r="D47" s="296"/>
      <c r="E47" s="121"/>
      <c r="F47" s="227"/>
      <c r="G47" s="227"/>
      <c r="H47" s="227"/>
      <c r="I47" s="227"/>
      <c r="J47" s="227"/>
      <c r="K47" s="227"/>
      <c r="L47" s="300"/>
      <c r="M47" s="227"/>
      <c r="N47" s="324"/>
      <c r="O47" s="227"/>
      <c r="P47" s="216"/>
      <c r="Q47" s="226"/>
      <c r="R47" s="230"/>
      <c r="S47" s="230"/>
      <c r="T47" s="231"/>
      <c r="U47" s="144"/>
      <c r="V47" s="216"/>
      <c r="W47" s="216"/>
      <c r="X47" s="216"/>
      <c r="Y47" s="216"/>
      <c r="Z47" s="216"/>
      <c r="AA47" s="216"/>
      <c r="AB47" s="216"/>
      <c r="AC47" s="216"/>
      <c r="AD47" s="216"/>
      <c r="AE47" s="216"/>
      <c r="AF47" s="216"/>
      <c r="AG47" s="216"/>
      <c r="AH47" s="216"/>
      <c r="AI47" s="216"/>
    </row>
    <row r="48" spans="1:35" ht="13.9" customHeight="1" x14ac:dyDescent="0.2">
      <c r="A48" s="296"/>
      <c r="B48" s="303"/>
      <c r="C48" s="299"/>
      <c r="D48" s="296"/>
      <c r="E48" s="121"/>
      <c r="F48" s="227"/>
      <c r="G48" s="227"/>
      <c r="H48" s="227"/>
      <c r="I48" s="227"/>
      <c r="J48" s="227"/>
      <c r="K48" s="227"/>
      <c r="L48" s="300"/>
      <c r="M48" s="227"/>
      <c r="N48" s="324"/>
      <c r="O48" s="227"/>
      <c r="P48" s="216"/>
      <c r="Q48" s="226"/>
      <c r="R48" s="230"/>
      <c r="S48" s="230"/>
      <c r="T48" s="231"/>
      <c r="U48" s="144"/>
      <c r="V48" s="216"/>
      <c r="W48" s="216"/>
      <c r="X48" s="216"/>
      <c r="Y48" s="216"/>
      <c r="Z48" s="216"/>
      <c r="AA48" s="216"/>
      <c r="AB48" s="216"/>
      <c r="AC48" s="216"/>
      <c r="AD48" s="216"/>
      <c r="AE48" s="216"/>
      <c r="AF48" s="216"/>
      <c r="AG48" s="216"/>
      <c r="AH48" s="216"/>
      <c r="AI48" s="216"/>
    </row>
    <row r="49" spans="1:35" ht="13.9" customHeight="1" x14ac:dyDescent="0.2">
      <c r="A49" s="296"/>
      <c r="B49" s="303"/>
      <c r="C49" s="299"/>
      <c r="D49" s="296"/>
      <c r="E49" s="121"/>
      <c r="F49" s="227"/>
      <c r="G49" s="227"/>
      <c r="H49" s="227"/>
      <c r="I49" s="227"/>
      <c r="J49" s="227"/>
      <c r="K49" s="227"/>
      <c r="L49" s="300"/>
      <c r="M49" s="227"/>
      <c r="N49" s="324"/>
      <c r="O49" s="227"/>
      <c r="P49" s="216"/>
      <c r="Q49" s="226"/>
      <c r="R49" s="230"/>
      <c r="S49" s="230"/>
      <c r="T49" s="231"/>
      <c r="U49" s="144"/>
      <c r="V49" s="216"/>
      <c r="W49" s="216"/>
      <c r="X49" s="216"/>
      <c r="Y49" s="216"/>
      <c r="Z49" s="216"/>
      <c r="AA49" s="216"/>
      <c r="AB49" s="216"/>
      <c r="AC49" s="216"/>
      <c r="AD49" s="216"/>
      <c r="AE49" s="216"/>
      <c r="AF49" s="216"/>
      <c r="AG49" s="216"/>
      <c r="AH49" s="216"/>
      <c r="AI49" s="216"/>
    </row>
    <row r="50" spans="1:35" ht="13.9" customHeight="1" x14ac:dyDescent="0.2">
      <c r="A50" s="296"/>
      <c r="B50" s="303"/>
      <c r="C50" s="299"/>
      <c r="D50" s="296"/>
      <c r="E50" s="121"/>
      <c r="F50" s="227"/>
      <c r="G50" s="227"/>
      <c r="H50" s="227"/>
      <c r="I50" s="227"/>
      <c r="J50" s="227"/>
      <c r="K50" s="227"/>
      <c r="L50" s="300"/>
      <c r="M50" s="227"/>
      <c r="N50" s="324"/>
      <c r="O50" s="227"/>
      <c r="P50" s="216"/>
      <c r="Q50" s="226"/>
      <c r="R50" s="230"/>
      <c r="S50" s="230"/>
      <c r="T50" s="231"/>
      <c r="U50" s="144"/>
      <c r="V50" s="216"/>
      <c r="W50" s="216"/>
      <c r="X50" s="216"/>
      <c r="Y50" s="216"/>
      <c r="Z50" s="216"/>
      <c r="AA50" s="216"/>
      <c r="AB50" s="216"/>
      <c r="AC50" s="216"/>
      <c r="AD50" s="216"/>
      <c r="AE50" s="216"/>
      <c r="AF50" s="216"/>
      <c r="AG50" s="216"/>
      <c r="AH50" s="216"/>
      <c r="AI50" s="216"/>
    </row>
    <row r="51" spans="1:35" ht="13.9" customHeight="1" x14ac:dyDescent="0.2">
      <c r="A51" s="296"/>
      <c r="B51" s="303"/>
      <c r="C51" s="299"/>
      <c r="D51" s="296"/>
      <c r="E51" s="121"/>
      <c r="F51" s="227"/>
      <c r="G51" s="227"/>
      <c r="H51" s="227"/>
      <c r="I51" s="227"/>
      <c r="J51" s="227"/>
      <c r="K51" s="227"/>
      <c r="L51" s="300"/>
      <c r="M51" s="227"/>
      <c r="N51" s="324"/>
      <c r="O51" s="227"/>
      <c r="P51" s="216"/>
      <c r="Q51" s="226"/>
      <c r="R51" s="230"/>
      <c r="S51" s="230"/>
      <c r="T51" s="231"/>
      <c r="U51" s="144"/>
      <c r="V51" s="216"/>
      <c r="W51" s="216"/>
      <c r="X51" s="216"/>
      <c r="Y51" s="216"/>
      <c r="Z51" s="216"/>
      <c r="AA51" s="216"/>
      <c r="AB51" s="216"/>
      <c r="AC51" s="216"/>
      <c r="AD51" s="216"/>
      <c r="AE51" s="216"/>
      <c r="AF51" s="216"/>
      <c r="AG51" s="216"/>
      <c r="AH51" s="216"/>
      <c r="AI51" s="216"/>
    </row>
    <row r="52" spans="1:35" ht="13.9" customHeight="1" x14ac:dyDescent="0.2">
      <c r="A52" s="296"/>
      <c r="B52" s="303"/>
      <c r="C52" s="299"/>
      <c r="D52" s="296"/>
      <c r="E52" s="121"/>
      <c r="F52" s="227"/>
      <c r="G52" s="227"/>
      <c r="H52" s="227"/>
      <c r="I52" s="227"/>
      <c r="J52" s="227"/>
      <c r="K52" s="227"/>
      <c r="L52" s="300"/>
      <c r="M52" s="227"/>
      <c r="N52" s="324"/>
      <c r="O52" s="227"/>
      <c r="P52" s="216"/>
      <c r="Q52" s="226"/>
      <c r="R52" s="230"/>
      <c r="S52" s="230"/>
      <c r="T52" s="231"/>
      <c r="U52" s="144"/>
      <c r="V52" s="216"/>
      <c r="W52" s="216"/>
      <c r="X52" s="216"/>
      <c r="Y52" s="216"/>
      <c r="Z52" s="216"/>
      <c r="AA52" s="216"/>
      <c r="AB52" s="216"/>
      <c r="AC52" s="216"/>
      <c r="AD52" s="216"/>
      <c r="AE52" s="216"/>
      <c r="AF52" s="216"/>
      <c r="AG52" s="216"/>
      <c r="AH52" s="216"/>
      <c r="AI52" s="216"/>
    </row>
    <row r="53" spans="1:35" ht="13.9" customHeight="1" x14ac:dyDescent="0.2">
      <c r="A53" s="296"/>
      <c r="B53" s="303"/>
      <c r="C53" s="299"/>
      <c r="D53" s="296"/>
      <c r="E53" s="121"/>
      <c r="F53" s="227"/>
      <c r="G53" s="227"/>
      <c r="H53" s="227"/>
      <c r="I53" s="227"/>
      <c r="J53" s="227"/>
      <c r="K53" s="227"/>
      <c r="L53" s="300"/>
      <c r="M53" s="227"/>
      <c r="N53" s="324"/>
      <c r="O53" s="227"/>
      <c r="P53" s="216"/>
      <c r="Q53" s="226"/>
      <c r="R53" s="230"/>
      <c r="S53" s="230"/>
      <c r="T53" s="231"/>
      <c r="U53" s="144"/>
      <c r="V53" s="216"/>
      <c r="W53" s="216"/>
      <c r="X53" s="216"/>
      <c r="Y53" s="216"/>
      <c r="Z53" s="216"/>
      <c r="AA53" s="216"/>
      <c r="AB53" s="216"/>
      <c r="AC53" s="216"/>
      <c r="AD53" s="216"/>
      <c r="AE53" s="216"/>
      <c r="AF53" s="216"/>
      <c r="AG53" s="216"/>
      <c r="AH53" s="216"/>
      <c r="AI53" s="216"/>
    </row>
    <row r="54" spans="1:35" ht="13.9" customHeight="1" x14ac:dyDescent="0.2">
      <c r="A54" s="296"/>
      <c r="B54" s="303"/>
      <c r="C54" s="299"/>
      <c r="D54" s="296"/>
      <c r="E54" s="121"/>
      <c r="F54" s="227"/>
      <c r="G54" s="227"/>
      <c r="H54" s="227"/>
      <c r="I54" s="227"/>
      <c r="J54" s="227"/>
      <c r="K54" s="227"/>
      <c r="L54" s="300"/>
      <c r="M54" s="227"/>
      <c r="N54" s="324"/>
      <c r="O54" s="227"/>
      <c r="P54" s="216"/>
      <c r="Q54" s="226"/>
      <c r="R54" s="230"/>
      <c r="S54" s="230"/>
      <c r="T54" s="231"/>
      <c r="U54" s="144"/>
      <c r="V54" s="216"/>
      <c r="W54" s="216"/>
      <c r="X54" s="216"/>
      <c r="Y54" s="216"/>
      <c r="Z54" s="216"/>
      <c r="AA54" s="216"/>
      <c r="AB54" s="216"/>
      <c r="AC54" s="216"/>
      <c r="AD54" s="216"/>
      <c r="AE54" s="216"/>
      <c r="AF54" s="216"/>
      <c r="AG54" s="216"/>
      <c r="AH54" s="216"/>
      <c r="AI54" s="216"/>
    </row>
    <row r="55" spans="1:35" ht="13.9" customHeight="1" x14ac:dyDescent="0.2">
      <c r="A55" s="296"/>
      <c r="B55" s="303"/>
      <c r="C55" s="299"/>
      <c r="D55" s="296"/>
      <c r="E55" s="121"/>
      <c r="F55" s="227"/>
      <c r="G55" s="227"/>
      <c r="H55" s="227"/>
      <c r="I55" s="227"/>
      <c r="J55" s="227"/>
      <c r="K55" s="227"/>
      <c r="L55" s="300"/>
      <c r="M55" s="227"/>
      <c r="N55" s="324"/>
      <c r="O55" s="227"/>
      <c r="P55" s="216"/>
      <c r="Q55" s="226"/>
      <c r="R55" s="230"/>
      <c r="S55" s="230"/>
      <c r="T55" s="231"/>
      <c r="U55" s="144"/>
      <c r="V55" s="216"/>
      <c r="W55" s="216"/>
      <c r="X55" s="216"/>
      <c r="Y55" s="216"/>
      <c r="Z55" s="216"/>
      <c r="AA55" s="216"/>
      <c r="AB55" s="216"/>
      <c r="AC55" s="216"/>
      <c r="AD55" s="216"/>
      <c r="AE55" s="216"/>
      <c r="AF55" s="216"/>
      <c r="AG55" s="216"/>
      <c r="AH55" s="216"/>
      <c r="AI55" s="216"/>
    </row>
    <row r="56" spans="1:35" ht="13.9" customHeight="1" x14ac:dyDescent="0.2">
      <c r="A56" s="296"/>
      <c r="B56" s="303"/>
      <c r="C56" s="299"/>
      <c r="D56" s="296"/>
      <c r="E56" s="121"/>
      <c r="F56" s="227"/>
      <c r="G56" s="227"/>
      <c r="H56" s="227"/>
      <c r="I56" s="227"/>
      <c r="J56" s="227"/>
      <c r="K56" s="227"/>
      <c r="L56" s="300"/>
      <c r="M56" s="227"/>
      <c r="N56" s="324"/>
      <c r="O56" s="227"/>
      <c r="P56" s="216"/>
      <c r="Q56" s="226"/>
      <c r="R56" s="230"/>
      <c r="S56" s="230"/>
      <c r="T56" s="231"/>
      <c r="U56" s="144"/>
      <c r="V56" s="216"/>
      <c r="W56" s="216"/>
      <c r="X56" s="216"/>
      <c r="Y56" s="216"/>
      <c r="Z56" s="216"/>
      <c r="AA56" s="216"/>
      <c r="AB56" s="216"/>
      <c r="AC56" s="216"/>
      <c r="AD56" s="216"/>
      <c r="AE56" s="216"/>
      <c r="AF56" s="216"/>
      <c r="AG56" s="216"/>
      <c r="AH56" s="216"/>
      <c r="AI56" s="216"/>
    </row>
    <row r="57" spans="1:35" ht="13.9" customHeight="1" x14ac:dyDescent="0.2">
      <c r="A57" s="296"/>
      <c r="B57" s="303"/>
      <c r="C57" s="299"/>
      <c r="D57" s="296"/>
      <c r="E57" s="121"/>
      <c r="F57" s="227"/>
      <c r="G57" s="227"/>
      <c r="H57" s="227"/>
      <c r="I57" s="227"/>
      <c r="J57" s="227"/>
      <c r="K57" s="227"/>
      <c r="L57" s="300"/>
      <c r="M57" s="227"/>
      <c r="N57" s="324"/>
      <c r="O57" s="227"/>
      <c r="P57" s="216"/>
      <c r="Q57" s="226"/>
      <c r="R57" s="230"/>
      <c r="S57" s="230"/>
      <c r="T57" s="231"/>
      <c r="U57" s="144"/>
      <c r="V57" s="216"/>
      <c r="W57" s="216"/>
      <c r="X57" s="216"/>
      <c r="Y57" s="216"/>
      <c r="Z57" s="216"/>
      <c r="AA57" s="216"/>
      <c r="AB57" s="216"/>
      <c r="AC57" s="216"/>
      <c r="AD57" s="216"/>
      <c r="AE57" s="216"/>
      <c r="AF57" s="216"/>
      <c r="AG57" s="216"/>
      <c r="AH57" s="216"/>
      <c r="AI57" s="216"/>
    </row>
    <row r="58" spans="1:35" ht="13.9" customHeight="1" x14ac:dyDescent="0.2">
      <c r="A58" s="296"/>
      <c r="B58" s="303"/>
      <c r="C58" s="299"/>
      <c r="D58" s="296"/>
      <c r="E58" s="121"/>
      <c r="F58" s="227"/>
      <c r="G58" s="227"/>
      <c r="H58" s="227"/>
      <c r="I58" s="227"/>
      <c r="J58" s="227"/>
      <c r="K58" s="227"/>
      <c r="L58" s="300"/>
      <c r="M58" s="227"/>
      <c r="N58" s="324"/>
      <c r="O58" s="227"/>
      <c r="P58" s="216"/>
      <c r="Q58" s="226"/>
      <c r="R58" s="230"/>
      <c r="S58" s="230"/>
      <c r="T58" s="231"/>
      <c r="U58" s="144"/>
      <c r="V58" s="216"/>
      <c r="W58" s="216"/>
      <c r="X58" s="216"/>
      <c r="Y58" s="216"/>
      <c r="Z58" s="216"/>
      <c r="AA58" s="216"/>
      <c r="AB58" s="216"/>
      <c r="AC58" s="216"/>
      <c r="AD58" s="216"/>
      <c r="AE58" s="216"/>
      <c r="AF58" s="216"/>
      <c r="AG58" s="216"/>
      <c r="AH58" s="216"/>
      <c r="AI58" s="216"/>
    </row>
    <row r="59" spans="1:35" ht="13.9" customHeight="1" x14ac:dyDescent="0.2">
      <c r="A59" s="296"/>
      <c r="B59" s="303"/>
      <c r="C59" s="299"/>
      <c r="D59" s="296"/>
      <c r="E59" s="121"/>
      <c r="F59" s="227"/>
      <c r="G59" s="227"/>
      <c r="H59" s="227"/>
      <c r="I59" s="227"/>
      <c r="J59" s="227"/>
      <c r="K59" s="227"/>
      <c r="L59" s="300"/>
      <c r="M59" s="227"/>
      <c r="N59" s="324"/>
      <c r="O59" s="227"/>
      <c r="P59" s="216"/>
      <c r="Q59" s="226"/>
      <c r="R59" s="230"/>
      <c r="S59" s="230"/>
      <c r="T59" s="231"/>
      <c r="U59" s="144"/>
      <c r="V59" s="216"/>
      <c r="W59" s="216"/>
      <c r="X59" s="216"/>
      <c r="Y59" s="216"/>
      <c r="Z59" s="216"/>
      <c r="AA59" s="216"/>
      <c r="AB59" s="216"/>
      <c r="AC59" s="216"/>
      <c r="AD59" s="216"/>
      <c r="AE59" s="216"/>
      <c r="AF59" s="216"/>
      <c r="AG59" s="216"/>
      <c r="AH59" s="216"/>
      <c r="AI59" s="216"/>
    </row>
    <row r="60" spans="1:35" ht="13.9" customHeight="1" x14ac:dyDescent="0.2">
      <c r="A60" s="296"/>
      <c r="B60" s="303"/>
      <c r="C60" s="299"/>
      <c r="D60" s="296"/>
      <c r="E60" s="121"/>
      <c r="F60" s="227"/>
      <c r="G60" s="227"/>
      <c r="H60" s="227"/>
      <c r="I60" s="227"/>
      <c r="J60" s="227"/>
      <c r="K60" s="227"/>
      <c r="L60" s="300"/>
      <c r="M60" s="227"/>
      <c r="N60" s="324"/>
      <c r="O60" s="227"/>
      <c r="P60" s="216"/>
      <c r="Q60" s="226"/>
      <c r="R60" s="230"/>
      <c r="S60" s="230"/>
      <c r="T60" s="231"/>
      <c r="U60" s="144"/>
      <c r="V60" s="216"/>
      <c r="W60" s="216"/>
      <c r="X60" s="216"/>
      <c r="Y60" s="216"/>
      <c r="Z60" s="216"/>
      <c r="AA60" s="216"/>
      <c r="AB60" s="216"/>
      <c r="AC60" s="216"/>
      <c r="AD60" s="216"/>
      <c r="AE60" s="216"/>
      <c r="AF60" s="216"/>
      <c r="AG60" s="216"/>
      <c r="AH60" s="216"/>
      <c r="AI60" s="216"/>
    </row>
    <row r="61" spans="1:35" ht="13.9" customHeight="1" x14ac:dyDescent="0.2">
      <c r="A61" s="296"/>
      <c r="B61" s="303"/>
      <c r="C61" s="299"/>
      <c r="D61" s="296"/>
      <c r="E61" s="121"/>
      <c r="F61" s="227"/>
      <c r="G61" s="227"/>
      <c r="H61" s="227"/>
      <c r="I61" s="227"/>
      <c r="J61" s="227"/>
      <c r="K61" s="227"/>
      <c r="L61" s="300"/>
      <c r="M61" s="227"/>
      <c r="N61" s="324"/>
      <c r="O61" s="227"/>
      <c r="P61" s="216"/>
      <c r="Q61" s="226"/>
      <c r="R61" s="230"/>
      <c r="S61" s="230"/>
      <c r="T61" s="231"/>
      <c r="U61" s="144"/>
      <c r="V61" s="216"/>
      <c r="W61" s="216"/>
      <c r="X61" s="216"/>
      <c r="Y61" s="216"/>
      <c r="Z61" s="216"/>
      <c r="AA61" s="216"/>
      <c r="AB61" s="216"/>
      <c r="AC61" s="216"/>
      <c r="AD61" s="216"/>
      <c r="AE61" s="216"/>
      <c r="AF61" s="216"/>
      <c r="AG61" s="216"/>
      <c r="AH61" s="216"/>
      <c r="AI61" s="216"/>
    </row>
    <row r="62" spans="1:35" ht="13.9" customHeight="1" x14ac:dyDescent="0.2">
      <c r="A62" s="296"/>
      <c r="B62" s="303"/>
      <c r="C62" s="299"/>
      <c r="D62" s="296"/>
      <c r="E62" s="121"/>
      <c r="F62" s="227"/>
      <c r="G62" s="227"/>
      <c r="H62" s="227"/>
      <c r="I62" s="227"/>
      <c r="J62" s="227"/>
      <c r="K62" s="227"/>
      <c r="L62" s="300"/>
      <c r="M62" s="227"/>
      <c r="N62" s="324"/>
      <c r="O62" s="227"/>
      <c r="P62" s="216"/>
      <c r="Q62" s="226"/>
      <c r="R62" s="230"/>
      <c r="S62" s="230"/>
      <c r="T62" s="231"/>
      <c r="U62" s="144"/>
      <c r="V62" s="216"/>
      <c r="W62" s="216"/>
      <c r="X62" s="216"/>
      <c r="Y62" s="216"/>
      <c r="Z62" s="216"/>
      <c r="AA62" s="216"/>
      <c r="AB62" s="216"/>
      <c r="AC62" s="216"/>
      <c r="AD62" s="216"/>
      <c r="AE62" s="216"/>
      <c r="AF62" s="216"/>
      <c r="AG62" s="216"/>
      <c r="AH62" s="216"/>
      <c r="AI62" s="216"/>
    </row>
    <row r="63" spans="1:35" ht="13.9" customHeight="1" x14ac:dyDescent="0.2">
      <c r="A63" s="296"/>
      <c r="B63" s="303"/>
      <c r="C63" s="299"/>
      <c r="D63" s="296"/>
      <c r="E63" s="121"/>
      <c r="F63" s="227"/>
      <c r="G63" s="227"/>
      <c r="H63" s="227"/>
      <c r="I63" s="227"/>
      <c r="J63" s="227"/>
      <c r="K63" s="227"/>
      <c r="L63" s="300"/>
      <c r="M63" s="227"/>
      <c r="N63" s="324"/>
      <c r="O63" s="227"/>
      <c r="P63" s="216"/>
      <c r="Q63" s="226"/>
      <c r="R63" s="230"/>
      <c r="S63" s="230"/>
      <c r="T63" s="231"/>
      <c r="U63" s="144"/>
      <c r="V63" s="216"/>
      <c r="W63" s="216"/>
      <c r="X63" s="216"/>
      <c r="Y63" s="216"/>
      <c r="Z63" s="216"/>
      <c r="AA63" s="216"/>
      <c r="AB63" s="216"/>
      <c r="AC63" s="216"/>
      <c r="AD63" s="216"/>
      <c r="AE63" s="216"/>
      <c r="AF63" s="216"/>
      <c r="AG63" s="216"/>
      <c r="AH63" s="216"/>
      <c r="AI63" s="216"/>
    </row>
    <row r="64" spans="1:35" ht="13.9" customHeight="1" x14ac:dyDescent="0.2">
      <c r="A64" s="296"/>
      <c r="B64" s="303"/>
      <c r="C64" s="299"/>
      <c r="D64" s="296"/>
      <c r="E64" s="121"/>
      <c r="F64" s="227"/>
      <c r="G64" s="227"/>
      <c r="H64" s="227"/>
      <c r="I64" s="227"/>
      <c r="J64" s="227"/>
      <c r="K64" s="227"/>
      <c r="L64" s="300"/>
      <c r="M64" s="227"/>
      <c r="N64" s="324"/>
      <c r="O64" s="227"/>
      <c r="P64" s="229"/>
      <c r="Q64" s="226"/>
      <c r="R64" s="224"/>
      <c r="S64" s="228"/>
      <c r="T64" s="226"/>
      <c r="U64" s="216"/>
      <c r="V64" s="216"/>
      <c r="W64" s="216"/>
      <c r="X64" s="216"/>
      <c r="Y64" s="216"/>
      <c r="Z64" s="216"/>
      <c r="AA64" s="216"/>
      <c r="AB64" s="216"/>
      <c r="AC64" s="216"/>
      <c r="AD64" s="216"/>
      <c r="AE64" s="216"/>
      <c r="AF64" s="216"/>
      <c r="AG64" s="216"/>
      <c r="AH64" s="216"/>
      <c r="AI64" s="216"/>
    </row>
    <row r="65" spans="1:35" ht="13.9" customHeight="1" x14ac:dyDescent="0.2">
      <c r="A65" s="640" t="s">
        <v>28</v>
      </c>
      <c r="B65" s="640"/>
      <c r="C65" s="640"/>
      <c r="D65" s="640"/>
      <c r="E65" s="640"/>
      <c r="F65" s="640"/>
      <c r="G65" s="326" t="e">
        <f>SUM(G8:G64)</f>
        <v>#REF!</v>
      </c>
      <c r="H65" s="326"/>
      <c r="I65" s="326"/>
      <c r="J65" s="326"/>
      <c r="K65" s="326"/>
      <c r="L65" s="326" t="e">
        <f>SUM(L8:L64)</f>
        <v>#REF!</v>
      </c>
      <c r="M65" s="326" t="e">
        <f>SUM(M8:M64)</f>
        <v>#REF!</v>
      </c>
      <c r="N65" s="327" t="e">
        <f>M65/G65</f>
        <v>#REF!</v>
      </c>
      <c r="O65" s="326" t="e">
        <f>SUM(O8:O64)</f>
        <v>#REF!</v>
      </c>
      <c r="P65" s="232">
        <f>SUM(P7:P64)</f>
        <v>32867.200700000001</v>
      </c>
      <c r="Q65" s="220"/>
      <c r="R65" s="216"/>
      <c r="S65" s="216"/>
      <c r="T65" s="216"/>
      <c r="U65" s="216"/>
      <c r="V65" s="216"/>
      <c r="W65" s="216"/>
      <c r="X65" s="216"/>
      <c r="Y65" s="216"/>
      <c r="Z65" s="216"/>
      <c r="AA65" s="216"/>
      <c r="AB65" s="216"/>
      <c r="AC65" s="216"/>
      <c r="AD65" s="216"/>
      <c r="AE65" s="216"/>
      <c r="AF65" s="216"/>
      <c r="AG65" s="233"/>
      <c r="AH65" s="216"/>
      <c r="AI65" s="216"/>
    </row>
    <row r="66" spans="1:35" ht="13.9" customHeight="1" x14ac:dyDescent="0.2">
      <c r="A66" s="328"/>
      <c r="B66" s="224"/>
      <c r="C66" s="192"/>
      <c r="D66" s="329"/>
      <c r="E66" s="189"/>
      <c r="F66" s="330"/>
      <c r="G66" s="646" t="s">
        <v>174</v>
      </c>
      <c r="H66" s="647"/>
      <c r="I66" s="352" t="e">
        <f>L65</f>
        <v>#REF!</v>
      </c>
      <c r="J66" s="648" t="str" cm="1">
        <f t="array" ref="J66">ValorPorExtenso(I66)</f>
        <v>valor inválido</v>
      </c>
      <c r="K66" s="649"/>
      <c r="L66" s="649"/>
      <c r="M66" s="649"/>
      <c r="N66" s="649"/>
      <c r="O66" s="650"/>
      <c r="P66" s="235"/>
      <c r="Q66" s="216"/>
      <c r="R66" s="216"/>
      <c r="S66" s="216"/>
      <c r="T66" s="216"/>
      <c r="U66" s="216"/>
      <c r="V66" s="216"/>
      <c r="W66" s="216"/>
      <c r="X66" s="216"/>
      <c r="Y66" s="216"/>
      <c r="Z66" s="216"/>
      <c r="AA66" s="216"/>
      <c r="AB66" s="216"/>
      <c r="AC66" s="216"/>
      <c r="AD66" s="216"/>
      <c r="AE66" s="216"/>
      <c r="AF66" s="216"/>
      <c r="AG66" s="216"/>
      <c r="AH66" s="216"/>
      <c r="AI66" s="216"/>
    </row>
    <row r="67" spans="1:35" ht="13.9" customHeight="1" x14ac:dyDescent="0.2">
      <c r="A67" s="354"/>
      <c r="B67" s="355"/>
      <c r="C67" s="355"/>
      <c r="D67" s="355"/>
      <c r="E67" s="355"/>
      <c r="F67" s="355"/>
      <c r="G67" s="355"/>
      <c r="H67" s="355"/>
      <c r="I67" s="355"/>
      <c r="J67" s="355"/>
      <c r="K67" s="355"/>
      <c r="L67" s="355"/>
      <c r="M67" s="355"/>
      <c r="N67" s="355"/>
      <c r="O67" s="356"/>
      <c r="P67" s="216"/>
      <c r="Q67" s="216"/>
      <c r="R67" s="216"/>
      <c r="S67" s="216"/>
      <c r="T67" s="216"/>
      <c r="U67" s="216"/>
      <c r="V67" s="216"/>
      <c r="W67" s="216"/>
      <c r="X67" s="216"/>
      <c r="Y67" s="216"/>
      <c r="Z67" s="216"/>
      <c r="AA67" s="216"/>
      <c r="AB67" s="216"/>
      <c r="AC67" s="216"/>
      <c r="AD67" s="216"/>
      <c r="AE67" s="216"/>
      <c r="AF67" s="216"/>
      <c r="AG67" s="216"/>
      <c r="AH67" s="216"/>
      <c r="AI67" s="216"/>
    </row>
    <row r="68" spans="1:35" ht="13.9" customHeight="1" x14ac:dyDescent="0.2">
      <c r="A68" s="236"/>
      <c r="B68" s="216"/>
      <c r="C68" s="216"/>
      <c r="D68" s="216"/>
      <c r="E68" s="216"/>
      <c r="F68" s="216"/>
      <c r="G68" s="216"/>
      <c r="H68" s="216"/>
      <c r="I68" s="216"/>
      <c r="J68" s="216"/>
      <c r="K68" s="216"/>
      <c r="L68" s="216"/>
      <c r="M68" s="216"/>
      <c r="N68" s="216"/>
      <c r="O68" s="237"/>
      <c r="P68" s="216"/>
      <c r="Q68" s="216"/>
      <c r="R68" s="216"/>
      <c r="S68" s="216"/>
      <c r="T68" s="216"/>
      <c r="U68" s="216"/>
      <c r="V68" s="216"/>
      <c r="W68" s="216"/>
      <c r="X68" s="216"/>
      <c r="Y68" s="216"/>
      <c r="Z68" s="216"/>
      <c r="AA68" s="216"/>
      <c r="AB68" s="216"/>
      <c r="AC68" s="216"/>
      <c r="AD68" s="216"/>
      <c r="AE68" s="216"/>
      <c r="AF68" s="216"/>
      <c r="AG68" s="216"/>
      <c r="AH68" s="216"/>
      <c r="AI68" s="216"/>
    </row>
    <row r="69" spans="1:35" ht="13.9" customHeight="1" x14ac:dyDescent="0.2">
      <c r="A69" s="236"/>
      <c r="B69" s="216"/>
      <c r="C69" s="216"/>
      <c r="D69" s="216"/>
      <c r="E69" s="216"/>
      <c r="F69" s="216"/>
      <c r="G69" s="216"/>
      <c r="H69" s="216"/>
      <c r="I69" s="216"/>
      <c r="J69" s="216"/>
      <c r="K69" s="216"/>
      <c r="L69" s="216"/>
      <c r="M69" s="216"/>
      <c r="N69" s="216"/>
      <c r="O69" s="237"/>
      <c r="P69" s="216"/>
      <c r="Q69" s="216"/>
      <c r="R69" s="216"/>
      <c r="S69" s="216"/>
      <c r="T69" s="216"/>
      <c r="U69" s="216"/>
      <c r="V69" s="216"/>
      <c r="W69" s="216"/>
      <c r="X69" s="216"/>
      <c r="Y69" s="216"/>
      <c r="Z69" s="216"/>
      <c r="AA69" s="216"/>
      <c r="AB69" s="216"/>
      <c r="AC69" s="216"/>
      <c r="AD69" s="216"/>
      <c r="AE69" s="216"/>
      <c r="AF69" s="216"/>
      <c r="AG69" s="216"/>
      <c r="AH69" s="216"/>
      <c r="AI69" s="216"/>
    </row>
    <row r="70" spans="1:35" ht="13.9" customHeight="1" x14ac:dyDescent="0.2">
      <c r="A70" s="236"/>
      <c r="D70" s="624" t="s">
        <v>135</v>
      </c>
      <c r="E70" s="624"/>
      <c r="F70" s="624"/>
      <c r="G70" s="624"/>
      <c r="H70" s="641" t="s">
        <v>136</v>
      </c>
      <c r="I70" s="641"/>
      <c r="J70" s="641"/>
      <c r="K70" s="641"/>
      <c r="L70" s="641" t="s">
        <v>136</v>
      </c>
      <c r="M70" s="641"/>
      <c r="N70" s="641"/>
      <c r="O70" s="237"/>
      <c r="P70" s="216"/>
      <c r="Q70" s="216"/>
      <c r="R70" s="216"/>
      <c r="S70" s="216"/>
      <c r="T70" s="216"/>
      <c r="U70" s="216"/>
      <c r="V70" s="216"/>
      <c r="W70" s="216"/>
      <c r="X70" s="216"/>
      <c r="Y70" s="216"/>
      <c r="Z70" s="216"/>
      <c r="AA70" s="216"/>
      <c r="AB70" s="216"/>
      <c r="AC70" s="216"/>
      <c r="AD70" s="216"/>
      <c r="AE70" s="216"/>
      <c r="AF70" s="216"/>
      <c r="AG70" s="216"/>
      <c r="AH70" s="216"/>
      <c r="AI70" s="216"/>
    </row>
    <row r="71" spans="1:35" ht="13.9" customHeight="1" x14ac:dyDescent="0.2">
      <c r="A71" s="236"/>
      <c r="D71" s="622" t="s">
        <v>137</v>
      </c>
      <c r="E71" s="622"/>
      <c r="F71" s="622"/>
      <c r="G71" s="622"/>
      <c r="H71" s="625" t="s">
        <v>138</v>
      </c>
      <c r="I71" s="625"/>
      <c r="J71" s="625"/>
      <c r="K71" s="625"/>
      <c r="L71" s="622" t="s">
        <v>139</v>
      </c>
      <c r="M71" s="622"/>
      <c r="N71" s="622"/>
      <c r="O71" s="237"/>
      <c r="P71" s="216"/>
      <c r="Q71" s="216"/>
      <c r="R71" s="216"/>
      <c r="S71" s="216"/>
      <c r="T71" s="216"/>
      <c r="U71" s="216"/>
      <c r="V71" s="216"/>
      <c r="W71" s="216"/>
      <c r="X71" s="216"/>
      <c r="Y71" s="216"/>
      <c r="Z71" s="216"/>
      <c r="AA71" s="216"/>
      <c r="AB71" s="216"/>
      <c r="AC71" s="216"/>
      <c r="AD71" s="216"/>
      <c r="AE71" s="216"/>
      <c r="AF71" s="216"/>
      <c r="AG71" s="216"/>
      <c r="AH71" s="216"/>
      <c r="AI71" s="216"/>
    </row>
    <row r="72" spans="1:35" ht="13.9" customHeight="1" x14ac:dyDescent="0.2">
      <c r="A72" s="234"/>
      <c r="B72" s="284"/>
      <c r="C72" s="284"/>
      <c r="D72" s="623" t="s">
        <v>140</v>
      </c>
      <c r="E72" s="623"/>
      <c r="F72" s="623"/>
      <c r="G72" s="623"/>
      <c r="H72" s="623" t="s">
        <v>141</v>
      </c>
      <c r="I72" s="623"/>
      <c r="J72" s="623"/>
      <c r="K72" s="623"/>
      <c r="L72" s="621" t="str">
        <f>C3</f>
        <v>CONSTRUTORA SANCARLOS LTDA</v>
      </c>
      <c r="M72" s="621"/>
      <c r="N72" s="621"/>
      <c r="O72" s="238"/>
      <c r="P72" s="216"/>
      <c r="Q72" s="216"/>
      <c r="R72" s="216"/>
      <c r="S72" s="216"/>
      <c r="T72" s="216"/>
      <c r="U72" s="216"/>
      <c r="V72" s="216"/>
      <c r="W72" s="216"/>
      <c r="X72" s="216"/>
      <c r="Y72" s="216"/>
      <c r="Z72" s="216"/>
      <c r="AA72" s="216"/>
      <c r="AB72" s="216"/>
      <c r="AC72" s="216"/>
      <c r="AD72" s="216"/>
      <c r="AE72" s="216"/>
      <c r="AF72" s="216"/>
      <c r="AG72" s="216"/>
      <c r="AH72" s="216"/>
      <c r="AI72" s="216"/>
    </row>
    <row r="73" spans="1:35" ht="13.9" customHeight="1" x14ac:dyDescent="0.2">
      <c r="A73" s="216"/>
      <c r="B73" s="216"/>
      <c r="C73" s="216"/>
      <c r="D73" s="216"/>
      <c r="E73" s="216"/>
      <c r="F73" s="216"/>
      <c r="G73" s="216"/>
      <c r="H73" s="216"/>
      <c r="I73" s="353" t="e">
        <f>L65/G65</f>
        <v>#REF!</v>
      </c>
      <c r="J73" s="353" t="e">
        <f>O65/G65</f>
        <v>#REF!</v>
      </c>
      <c r="K73" s="216"/>
      <c r="L73" s="216"/>
      <c r="M73" s="216"/>
      <c r="N73" s="239"/>
      <c r="O73" s="260"/>
      <c r="P73" s="216"/>
      <c r="Q73" s="216"/>
      <c r="R73" s="216"/>
      <c r="S73" s="216"/>
      <c r="T73" s="216"/>
      <c r="U73" s="216"/>
      <c r="V73" s="216"/>
      <c r="W73" s="216"/>
      <c r="X73" s="216"/>
      <c r="Y73" s="216"/>
      <c r="Z73" s="216"/>
      <c r="AA73" s="216"/>
      <c r="AB73" s="216"/>
      <c r="AC73" s="216"/>
      <c r="AD73" s="216"/>
      <c r="AE73" s="216"/>
      <c r="AF73" s="216"/>
      <c r="AG73" s="216"/>
      <c r="AH73" s="216"/>
      <c r="AI73" s="216"/>
    </row>
    <row r="74" spans="1:35" x14ac:dyDescent="0.2">
      <c r="A74" s="216"/>
      <c r="B74" s="216"/>
      <c r="C74" s="216"/>
      <c r="D74" s="216"/>
      <c r="E74" s="216"/>
      <c r="F74" s="216"/>
      <c r="G74" s="216"/>
      <c r="H74" s="216"/>
      <c r="I74" s="241">
        <v>1</v>
      </c>
      <c r="J74" s="239"/>
      <c r="K74" s="216"/>
      <c r="L74" s="216"/>
      <c r="M74" s="216"/>
      <c r="N74" s="350"/>
      <c r="O74" s="350"/>
      <c r="P74" s="216"/>
      <c r="Q74" s="216"/>
      <c r="R74" s="216"/>
      <c r="S74" s="216"/>
      <c r="T74" s="216"/>
      <c r="U74" s="216"/>
      <c r="V74" s="216"/>
      <c r="W74" s="216"/>
      <c r="X74" s="216"/>
      <c r="Y74" s="216"/>
      <c r="Z74" s="216"/>
      <c r="AA74" s="216"/>
      <c r="AB74" s="216"/>
      <c r="AC74" s="216"/>
      <c r="AD74" s="216"/>
      <c r="AE74" s="216"/>
      <c r="AF74" s="216"/>
      <c r="AG74" s="216"/>
      <c r="AH74" s="216"/>
      <c r="AI74" s="216"/>
    </row>
    <row r="75" spans="1:35" x14ac:dyDescent="0.2">
      <c r="A75" s="216"/>
      <c r="B75" s="216"/>
      <c r="C75" s="216"/>
      <c r="D75" s="216"/>
      <c r="E75" s="216"/>
      <c r="F75" s="216"/>
      <c r="G75" s="216"/>
      <c r="H75" s="216"/>
      <c r="I75" s="216"/>
      <c r="J75" s="216"/>
      <c r="K75" s="216"/>
      <c r="L75" s="216"/>
      <c r="M75" s="216"/>
      <c r="N75" s="351"/>
      <c r="O75" s="239"/>
      <c r="P75" s="216"/>
      <c r="Q75" s="216"/>
      <c r="R75" s="216"/>
      <c r="S75" s="216"/>
      <c r="T75" s="216"/>
      <c r="U75" s="216"/>
      <c r="V75" s="216"/>
      <c r="W75" s="216"/>
      <c r="X75" s="216"/>
      <c r="Y75" s="216"/>
      <c r="Z75" s="216"/>
      <c r="AA75" s="216"/>
      <c r="AB75" s="216"/>
      <c r="AC75" s="216"/>
      <c r="AD75" s="216"/>
      <c r="AE75" s="216"/>
      <c r="AF75" s="216"/>
      <c r="AG75" s="216"/>
      <c r="AH75" s="216"/>
      <c r="AI75" s="216"/>
    </row>
    <row r="76" spans="1:35" x14ac:dyDescent="0.2">
      <c r="A76" s="216"/>
      <c r="B76" s="216"/>
      <c r="C76" s="216"/>
      <c r="D76" s="216"/>
      <c r="E76" s="216"/>
      <c r="F76" s="216"/>
      <c r="G76" s="216"/>
      <c r="H76" s="216"/>
      <c r="I76" s="216"/>
      <c r="J76" s="216"/>
      <c r="K76" s="216"/>
      <c r="L76" s="216"/>
      <c r="M76" s="216"/>
      <c r="N76" s="216"/>
      <c r="O76" s="216"/>
      <c r="P76" s="216"/>
      <c r="Q76" s="216"/>
      <c r="R76" s="216"/>
      <c r="S76" s="216"/>
      <c r="T76" s="216"/>
      <c r="U76" s="216"/>
      <c r="V76" s="216"/>
      <c r="W76" s="216"/>
      <c r="X76" s="216"/>
      <c r="Y76" s="216"/>
      <c r="Z76" s="216"/>
      <c r="AA76" s="216"/>
      <c r="AB76" s="216"/>
      <c r="AC76" s="216"/>
      <c r="AD76" s="216"/>
      <c r="AE76" s="216"/>
      <c r="AF76" s="216"/>
      <c r="AG76" s="216"/>
      <c r="AH76" s="216"/>
      <c r="AI76" s="216"/>
    </row>
    <row r="77" spans="1:35" x14ac:dyDescent="0.2">
      <c r="A77" s="216"/>
      <c r="B77" s="216"/>
      <c r="C77" s="216"/>
      <c r="D77" s="216"/>
      <c r="E77" s="216"/>
      <c r="F77" s="216"/>
      <c r="G77" s="216"/>
      <c r="H77" s="216"/>
      <c r="I77" s="216"/>
      <c r="J77" s="216"/>
      <c r="K77" s="216"/>
      <c r="L77" s="216"/>
      <c r="M77" s="216"/>
      <c r="N77" s="216"/>
      <c r="O77" s="216"/>
      <c r="P77" s="216"/>
      <c r="Q77" s="216"/>
      <c r="R77" s="216"/>
      <c r="S77" s="216"/>
      <c r="T77" s="216"/>
      <c r="U77" s="216"/>
      <c r="V77" s="216"/>
      <c r="W77" s="216"/>
      <c r="X77" s="216"/>
      <c r="Y77" s="216"/>
      <c r="Z77" s="216"/>
      <c r="AA77" s="216"/>
      <c r="AB77" s="216"/>
      <c r="AC77" s="216"/>
      <c r="AD77" s="216"/>
      <c r="AE77" s="216"/>
      <c r="AF77" s="216"/>
      <c r="AG77" s="216"/>
      <c r="AH77" s="216"/>
      <c r="AI77" s="216"/>
    </row>
    <row r="78" spans="1:35" x14ac:dyDescent="0.2">
      <c r="A78" s="216"/>
      <c r="B78" s="216"/>
      <c r="C78" s="216"/>
      <c r="D78" s="216"/>
      <c r="E78" s="216"/>
      <c r="F78" s="216"/>
      <c r="G78" s="216"/>
      <c r="H78" s="216"/>
      <c r="I78" s="216"/>
      <c r="J78" s="216"/>
      <c r="K78" s="216"/>
      <c r="L78" s="216"/>
      <c r="M78" s="216"/>
      <c r="N78" s="216"/>
      <c r="O78" s="216"/>
      <c r="P78" s="216"/>
      <c r="Q78" s="216"/>
      <c r="R78" s="216"/>
      <c r="S78" s="216"/>
      <c r="T78" s="216"/>
      <c r="U78" s="216"/>
      <c r="V78" s="216"/>
      <c r="W78" s="216"/>
      <c r="X78" s="216"/>
      <c r="Y78" s="216"/>
      <c r="Z78" s="216"/>
      <c r="AA78" s="216"/>
      <c r="AB78" s="216"/>
      <c r="AC78" s="216"/>
      <c r="AD78" s="216"/>
      <c r="AE78" s="216"/>
      <c r="AF78" s="216"/>
      <c r="AG78" s="216"/>
      <c r="AH78" s="216"/>
      <c r="AI78" s="216"/>
    </row>
  </sheetData>
  <mergeCells count="22">
    <mergeCell ref="A65:F65"/>
    <mergeCell ref="H70:K70"/>
    <mergeCell ref="L70:N70"/>
    <mergeCell ref="A6:H6"/>
    <mergeCell ref="K6:L6"/>
    <mergeCell ref="I6:J6"/>
    <mergeCell ref="G66:H66"/>
    <mergeCell ref="J66:O66"/>
    <mergeCell ref="A4:L4"/>
    <mergeCell ref="A5:L5"/>
    <mergeCell ref="A1:O1"/>
    <mergeCell ref="N4:O4"/>
    <mergeCell ref="N5:O5"/>
    <mergeCell ref="A2:L2"/>
    <mergeCell ref="N3:O3"/>
    <mergeCell ref="L72:N72"/>
    <mergeCell ref="L71:N71"/>
    <mergeCell ref="D72:G72"/>
    <mergeCell ref="D71:G71"/>
    <mergeCell ref="D70:G70"/>
    <mergeCell ref="H71:K71"/>
    <mergeCell ref="H72:K72"/>
  </mergeCells>
  <printOptions horizontalCentered="1"/>
  <pageMargins left="0.19685039370078741" right="0.19685039370078741" top="0.19685039370078741" bottom="0.19685039370078741" header="0" footer="0"/>
  <pageSetup paperSize="9" scale="56" fitToHeight="0" orientation="landscape" r:id="rId1"/>
  <headerFooter alignWithMargins="0">
    <oddFooter>Página &amp;P de &amp;N</oddFooter>
  </headerFooter>
  <ignoredErrors>
    <ignoredError sqref="O2" numberStoredAsText="1"/>
    <ignoredError sqref="N65" formula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7C273-7278-45A9-85DD-317B832D0946}">
  <sheetPr codeName="Planilha8"/>
  <dimension ref="A1:M55"/>
  <sheetViews>
    <sheetView showGridLines="0" showZeros="0" view="pageBreakPreview" zoomScaleNormal="100" zoomScaleSheetLayoutView="100" workbookViewId="0">
      <pane xSplit="12" ySplit="6" topLeftCell="M7" activePane="bottomRight" state="frozen"/>
      <selection pane="topRight" activeCell="M1" sqref="M1"/>
      <selection pane="bottomLeft" activeCell="A7" sqref="A7"/>
      <selection pane="bottomRight" activeCell="A7" sqref="A7:D21"/>
    </sheetView>
  </sheetViews>
  <sheetFormatPr defaultColWidth="9.140625" defaultRowHeight="12.75" x14ac:dyDescent="0.2"/>
  <cols>
    <col min="1" max="2" width="13.7109375" style="25" customWidth="1"/>
    <col min="3" max="5" width="13.7109375" style="26" customWidth="1"/>
    <col min="6" max="6" width="13.7109375" style="27" customWidth="1"/>
    <col min="7" max="7" width="13.7109375" style="28" customWidth="1"/>
    <col min="8" max="12" width="13.7109375" style="25" customWidth="1"/>
    <col min="13" max="13" width="4.7109375" style="25" customWidth="1"/>
    <col min="14" max="16384" width="9.140625" style="25"/>
  </cols>
  <sheetData>
    <row r="1" spans="1:13" s="23" customFormat="1" ht="54.6" customHeight="1" x14ac:dyDescent="0.2">
      <c r="A1" s="465"/>
      <c r="B1" s="466"/>
      <c r="C1" s="466"/>
      <c r="D1" s="466"/>
      <c r="E1" s="466"/>
      <c r="F1" s="466"/>
      <c r="G1" s="466"/>
      <c r="H1" s="466"/>
      <c r="I1" s="466"/>
      <c r="J1" s="466"/>
      <c r="K1" s="466"/>
      <c r="L1" s="467"/>
    </row>
    <row r="2" spans="1:13" s="23" customFormat="1" ht="13.9" customHeight="1" x14ac:dyDescent="0.2">
      <c r="A2" s="468" t="s">
        <v>142</v>
      </c>
      <c r="B2" s="469"/>
      <c r="C2" s="469"/>
      <c r="D2" s="469"/>
      <c r="E2" s="469"/>
      <c r="F2" s="469"/>
      <c r="G2" s="469"/>
      <c r="H2" s="469"/>
      <c r="I2" s="469"/>
      <c r="J2" s="469"/>
      <c r="K2" s="469"/>
      <c r="L2" s="470"/>
    </row>
    <row r="3" spans="1:13" s="24" customFormat="1" ht="13.9" customHeight="1" x14ac:dyDescent="0.2">
      <c r="A3" s="214" t="str">
        <f>'BM 01'!A3</f>
        <v xml:space="preserve">EMPRESA: </v>
      </c>
      <c r="B3" s="269" t="str">
        <f>'BM 01'!C3</f>
        <v>CONSTRUTORA SANCARLOS LTDA</v>
      </c>
      <c r="C3" s="275"/>
      <c r="D3" s="275"/>
      <c r="E3" s="275"/>
      <c r="F3" s="276"/>
      <c r="G3" s="269"/>
      <c r="H3" s="269"/>
      <c r="I3" s="269"/>
      <c r="J3" s="269"/>
      <c r="K3" s="365" t="str">
        <f>'BM 01'!M2</f>
        <v xml:space="preserve">BOLETIM n°: </v>
      </c>
      <c r="L3" s="286" t="str">
        <f>'BM 01'!O2</f>
        <v>01</v>
      </c>
    </row>
    <row r="4" spans="1:13" s="24" customFormat="1" ht="13.9" customHeight="1" x14ac:dyDescent="0.2">
      <c r="A4" s="214" t="str">
        <f>'BM 01'!A4</f>
        <v>OBRA: SERVIÇOS DE INFRAESTRUTURA</v>
      </c>
      <c r="B4" s="269"/>
      <c r="C4" s="277"/>
      <c r="D4" s="277"/>
      <c r="E4" s="277"/>
      <c r="F4" s="269"/>
      <c r="G4" s="270"/>
      <c r="H4" s="269"/>
      <c r="I4" s="269"/>
      <c r="J4" s="269"/>
      <c r="K4" s="365" t="str">
        <f>'BM 01'!M3</f>
        <v>DATA INICIAL:</v>
      </c>
      <c r="L4" s="279" t="str" cm="1">
        <f t="array" ref="L4:M4">'BM 01'!N3:O3</f>
        <v>ordem de serviço</v>
      </c>
      <c r="M4" s="24">
        <v>0</v>
      </c>
    </row>
    <row r="5" spans="1:13" s="24" customFormat="1" ht="13.9" customHeight="1" x14ac:dyDescent="0.2">
      <c r="A5" s="214" t="str">
        <f>'BM 01'!A5</f>
        <v>LOCAL: ÁREAS PÚBLICAS MUNICIPAIS DE SANTA CRUZ DO ESCALVADO (MG)</v>
      </c>
      <c r="B5" s="278"/>
      <c r="C5" s="278"/>
      <c r="D5" s="278"/>
      <c r="E5" s="278"/>
      <c r="F5" s="278"/>
      <c r="G5" s="278"/>
      <c r="H5" s="278"/>
      <c r="I5" s="278"/>
      <c r="J5" s="278"/>
      <c r="K5" s="365" t="str">
        <f>'BM 01'!M4</f>
        <v>DATA FINAL:</v>
      </c>
      <c r="L5" s="279" cm="1">
        <f t="array" ref="L5:M5">'BM 01'!N4:O4</f>
        <v>46244</v>
      </c>
      <c r="M5" s="24">
        <v>0</v>
      </c>
    </row>
    <row r="6" spans="1:13" s="24" customFormat="1" ht="13.9" customHeight="1" x14ac:dyDescent="0.2">
      <c r="A6" s="357" t="str">
        <f>'BM 01'!A6</f>
        <v xml:space="preserve">LICITAÇÃO: Processo Licitatório nº 115/2026 - Concorrência nº 028/2026 - Contrato nº 028/2026 </v>
      </c>
      <c r="B6" s="358"/>
      <c r="C6" s="359"/>
      <c r="D6" s="359"/>
      <c r="E6" s="359"/>
      <c r="F6" s="360"/>
      <c r="G6" s="358"/>
      <c r="H6" s="358"/>
      <c r="I6" s="358"/>
      <c r="J6" s="361"/>
      <c r="K6" s="366" t="str">
        <f>'BM 01'!M5</f>
        <v xml:space="preserve">DATA MEDIÇÃO: </v>
      </c>
      <c r="L6" s="362" cm="1">
        <f t="array" ref="L6:M6">'BM 01'!N5:O5</f>
        <v>0</v>
      </c>
      <c r="M6" s="24">
        <v>0</v>
      </c>
    </row>
    <row r="7" spans="1:13" ht="12" customHeight="1" x14ac:dyDescent="0.2">
      <c r="A7" s="471"/>
      <c r="B7" s="472"/>
      <c r="C7" s="472"/>
      <c r="D7" s="473"/>
      <c r="E7" s="471"/>
      <c r="F7" s="472"/>
      <c r="G7" s="472"/>
      <c r="H7" s="473"/>
      <c r="I7" s="471"/>
      <c r="J7" s="472"/>
      <c r="K7" s="472"/>
      <c r="L7" s="473"/>
    </row>
    <row r="8" spans="1:13" ht="12" customHeight="1" x14ac:dyDescent="0.2">
      <c r="A8" s="474"/>
      <c r="B8" s="475"/>
      <c r="C8" s="475"/>
      <c r="D8" s="476"/>
      <c r="E8" s="474"/>
      <c r="F8" s="475"/>
      <c r="G8" s="475"/>
      <c r="H8" s="476"/>
      <c r="I8" s="474"/>
      <c r="J8" s="475"/>
      <c r="K8" s="475"/>
      <c r="L8" s="476"/>
    </row>
    <row r="9" spans="1:13" ht="12" customHeight="1" x14ac:dyDescent="0.2">
      <c r="A9" s="474"/>
      <c r="B9" s="475"/>
      <c r="C9" s="475"/>
      <c r="D9" s="476"/>
      <c r="E9" s="474"/>
      <c r="F9" s="475"/>
      <c r="G9" s="475"/>
      <c r="H9" s="476"/>
      <c r="I9" s="474"/>
      <c r="J9" s="475"/>
      <c r="K9" s="475"/>
      <c r="L9" s="476"/>
    </row>
    <row r="10" spans="1:13" ht="12" customHeight="1" x14ac:dyDescent="0.2">
      <c r="A10" s="474"/>
      <c r="B10" s="475"/>
      <c r="C10" s="475"/>
      <c r="D10" s="476"/>
      <c r="E10" s="474"/>
      <c r="F10" s="475"/>
      <c r="G10" s="475"/>
      <c r="H10" s="476"/>
      <c r="I10" s="474"/>
      <c r="J10" s="475"/>
      <c r="K10" s="475"/>
      <c r="L10" s="476"/>
    </row>
    <row r="11" spans="1:13" ht="12" customHeight="1" x14ac:dyDescent="0.2">
      <c r="A11" s="474"/>
      <c r="B11" s="475"/>
      <c r="C11" s="475"/>
      <c r="D11" s="476"/>
      <c r="E11" s="474"/>
      <c r="F11" s="475"/>
      <c r="G11" s="475"/>
      <c r="H11" s="476"/>
      <c r="I11" s="474"/>
      <c r="J11" s="475"/>
      <c r="K11" s="475"/>
      <c r="L11" s="476"/>
    </row>
    <row r="12" spans="1:13" ht="12" customHeight="1" x14ac:dyDescent="0.2">
      <c r="A12" s="474"/>
      <c r="B12" s="475"/>
      <c r="C12" s="475"/>
      <c r="D12" s="476"/>
      <c r="E12" s="474"/>
      <c r="F12" s="475"/>
      <c r="G12" s="475"/>
      <c r="H12" s="476"/>
      <c r="I12" s="474"/>
      <c r="J12" s="475"/>
      <c r="K12" s="475"/>
      <c r="L12" s="476"/>
    </row>
    <row r="13" spans="1:13" ht="12" customHeight="1" x14ac:dyDescent="0.2">
      <c r="A13" s="474"/>
      <c r="B13" s="475"/>
      <c r="C13" s="475"/>
      <c r="D13" s="476"/>
      <c r="E13" s="474"/>
      <c r="F13" s="475"/>
      <c r="G13" s="475"/>
      <c r="H13" s="476"/>
      <c r="I13" s="474"/>
      <c r="J13" s="475"/>
      <c r="K13" s="475"/>
      <c r="L13" s="476"/>
    </row>
    <row r="14" spans="1:13" ht="12" customHeight="1" x14ac:dyDescent="0.2">
      <c r="A14" s="474"/>
      <c r="B14" s="475"/>
      <c r="C14" s="475"/>
      <c r="D14" s="476"/>
      <c r="E14" s="474"/>
      <c r="F14" s="475"/>
      <c r="G14" s="475"/>
      <c r="H14" s="476"/>
      <c r="I14" s="474"/>
      <c r="J14" s="475"/>
      <c r="K14" s="475"/>
      <c r="L14" s="476"/>
    </row>
    <row r="15" spans="1:13" ht="12" customHeight="1" x14ac:dyDescent="0.2">
      <c r="A15" s="474"/>
      <c r="B15" s="475"/>
      <c r="C15" s="475"/>
      <c r="D15" s="476"/>
      <c r="E15" s="474"/>
      <c r="F15" s="475"/>
      <c r="G15" s="475"/>
      <c r="H15" s="476"/>
      <c r="I15" s="474"/>
      <c r="J15" s="475"/>
      <c r="K15" s="475"/>
      <c r="L15" s="476"/>
    </row>
    <row r="16" spans="1:13" ht="12" customHeight="1" x14ac:dyDescent="0.2">
      <c r="A16" s="474"/>
      <c r="B16" s="475"/>
      <c r="C16" s="475"/>
      <c r="D16" s="476"/>
      <c r="E16" s="474"/>
      <c r="F16" s="475"/>
      <c r="G16" s="475"/>
      <c r="H16" s="476"/>
      <c r="I16" s="474"/>
      <c r="J16" s="475"/>
      <c r="K16" s="475"/>
      <c r="L16" s="476"/>
    </row>
    <row r="17" spans="1:12" ht="12" customHeight="1" x14ac:dyDescent="0.2">
      <c r="A17" s="474"/>
      <c r="B17" s="475"/>
      <c r="C17" s="475"/>
      <c r="D17" s="476"/>
      <c r="E17" s="474"/>
      <c r="F17" s="475"/>
      <c r="G17" s="475"/>
      <c r="H17" s="476"/>
      <c r="I17" s="474"/>
      <c r="J17" s="475"/>
      <c r="K17" s="475"/>
      <c r="L17" s="476"/>
    </row>
    <row r="18" spans="1:12" ht="12" customHeight="1" x14ac:dyDescent="0.2">
      <c r="A18" s="474"/>
      <c r="B18" s="475"/>
      <c r="C18" s="475"/>
      <c r="D18" s="476"/>
      <c r="E18" s="474"/>
      <c r="F18" s="475"/>
      <c r="G18" s="475"/>
      <c r="H18" s="476"/>
      <c r="I18" s="474"/>
      <c r="J18" s="475"/>
      <c r="K18" s="475"/>
      <c r="L18" s="476"/>
    </row>
    <row r="19" spans="1:12" ht="12" customHeight="1" x14ac:dyDescent="0.2">
      <c r="A19" s="474"/>
      <c r="B19" s="475"/>
      <c r="C19" s="475"/>
      <c r="D19" s="476"/>
      <c r="E19" s="474"/>
      <c r="F19" s="475"/>
      <c r="G19" s="475"/>
      <c r="H19" s="476"/>
      <c r="I19" s="474"/>
      <c r="J19" s="475"/>
      <c r="K19" s="475"/>
      <c r="L19" s="476"/>
    </row>
    <row r="20" spans="1:12" ht="12" customHeight="1" x14ac:dyDescent="0.2">
      <c r="A20" s="474"/>
      <c r="B20" s="475"/>
      <c r="C20" s="475"/>
      <c r="D20" s="476"/>
      <c r="E20" s="474"/>
      <c r="F20" s="475"/>
      <c r="G20" s="475"/>
      <c r="H20" s="476"/>
      <c r="I20" s="474"/>
      <c r="J20" s="475"/>
      <c r="K20" s="475"/>
      <c r="L20" s="476"/>
    </row>
    <row r="21" spans="1:12" ht="12" customHeight="1" x14ac:dyDescent="0.2">
      <c r="A21" s="477"/>
      <c r="B21" s="478"/>
      <c r="C21" s="478"/>
      <c r="D21" s="479"/>
      <c r="E21" s="477"/>
      <c r="F21" s="478"/>
      <c r="G21" s="478"/>
      <c r="H21" s="479"/>
      <c r="I21" s="477"/>
      <c r="J21" s="478"/>
      <c r="K21" s="478"/>
      <c r="L21" s="479"/>
    </row>
    <row r="22" spans="1:12" ht="12" customHeight="1" x14ac:dyDescent="0.2">
      <c r="A22" s="471"/>
      <c r="B22" s="472"/>
      <c r="C22" s="472"/>
      <c r="D22" s="473"/>
      <c r="E22" s="471"/>
      <c r="F22" s="472"/>
      <c r="G22" s="472"/>
      <c r="H22" s="473"/>
      <c r="I22" s="471"/>
      <c r="J22" s="472"/>
      <c r="K22" s="472"/>
      <c r="L22" s="473"/>
    </row>
    <row r="23" spans="1:12" ht="12" customHeight="1" x14ac:dyDescent="0.2">
      <c r="A23" s="474"/>
      <c r="B23" s="475"/>
      <c r="C23" s="475"/>
      <c r="D23" s="476"/>
      <c r="E23" s="474"/>
      <c r="F23" s="475"/>
      <c r="G23" s="475"/>
      <c r="H23" s="476"/>
      <c r="I23" s="474"/>
      <c r="J23" s="475"/>
      <c r="K23" s="475"/>
      <c r="L23" s="476"/>
    </row>
    <row r="24" spans="1:12" ht="12" customHeight="1" x14ac:dyDescent="0.2">
      <c r="A24" s="474"/>
      <c r="B24" s="475"/>
      <c r="C24" s="475"/>
      <c r="D24" s="476"/>
      <c r="E24" s="474"/>
      <c r="F24" s="475"/>
      <c r="G24" s="475"/>
      <c r="H24" s="476"/>
      <c r="I24" s="474"/>
      <c r="J24" s="475"/>
      <c r="K24" s="475"/>
      <c r="L24" s="476"/>
    </row>
    <row r="25" spans="1:12" ht="12" customHeight="1" x14ac:dyDescent="0.2">
      <c r="A25" s="474"/>
      <c r="B25" s="475"/>
      <c r="C25" s="475"/>
      <c r="D25" s="476"/>
      <c r="E25" s="474"/>
      <c r="F25" s="475"/>
      <c r="G25" s="475"/>
      <c r="H25" s="476"/>
      <c r="I25" s="474"/>
      <c r="J25" s="475"/>
      <c r="K25" s="475"/>
      <c r="L25" s="476"/>
    </row>
    <row r="26" spans="1:12" ht="12" customHeight="1" x14ac:dyDescent="0.2">
      <c r="A26" s="474"/>
      <c r="B26" s="475"/>
      <c r="C26" s="475"/>
      <c r="D26" s="476"/>
      <c r="E26" s="474"/>
      <c r="F26" s="475"/>
      <c r="G26" s="475"/>
      <c r="H26" s="476"/>
      <c r="I26" s="474"/>
      <c r="J26" s="475"/>
      <c r="K26" s="475"/>
      <c r="L26" s="476"/>
    </row>
    <row r="27" spans="1:12" ht="12" customHeight="1" x14ac:dyDescent="0.2">
      <c r="A27" s="474"/>
      <c r="B27" s="475"/>
      <c r="C27" s="475"/>
      <c r="D27" s="476"/>
      <c r="E27" s="474"/>
      <c r="F27" s="475"/>
      <c r="G27" s="475"/>
      <c r="H27" s="476"/>
      <c r="I27" s="474"/>
      <c r="J27" s="475"/>
      <c r="K27" s="475"/>
      <c r="L27" s="476"/>
    </row>
    <row r="28" spans="1:12" ht="12" customHeight="1" x14ac:dyDescent="0.2">
      <c r="A28" s="474"/>
      <c r="B28" s="475"/>
      <c r="C28" s="475"/>
      <c r="D28" s="476"/>
      <c r="E28" s="474"/>
      <c r="F28" s="475"/>
      <c r="G28" s="475"/>
      <c r="H28" s="476"/>
      <c r="I28" s="474"/>
      <c r="J28" s="475"/>
      <c r="K28" s="475"/>
      <c r="L28" s="476"/>
    </row>
    <row r="29" spans="1:12" ht="12" customHeight="1" x14ac:dyDescent="0.2">
      <c r="A29" s="474"/>
      <c r="B29" s="475"/>
      <c r="C29" s="475"/>
      <c r="D29" s="476"/>
      <c r="E29" s="474"/>
      <c r="F29" s="475"/>
      <c r="G29" s="475"/>
      <c r="H29" s="476"/>
      <c r="I29" s="474"/>
      <c r="J29" s="475"/>
      <c r="K29" s="475"/>
      <c r="L29" s="476"/>
    </row>
    <row r="30" spans="1:12" ht="12" customHeight="1" x14ac:dyDescent="0.2">
      <c r="A30" s="474"/>
      <c r="B30" s="475"/>
      <c r="C30" s="475"/>
      <c r="D30" s="476"/>
      <c r="E30" s="474"/>
      <c r="F30" s="475"/>
      <c r="G30" s="475"/>
      <c r="H30" s="476"/>
      <c r="I30" s="474"/>
      <c r="J30" s="475"/>
      <c r="K30" s="475"/>
      <c r="L30" s="476"/>
    </row>
    <row r="31" spans="1:12" ht="12" customHeight="1" x14ac:dyDescent="0.2">
      <c r="A31" s="474"/>
      <c r="B31" s="475"/>
      <c r="C31" s="475"/>
      <c r="D31" s="476"/>
      <c r="E31" s="474"/>
      <c r="F31" s="475"/>
      <c r="G31" s="475"/>
      <c r="H31" s="476"/>
      <c r="I31" s="474"/>
      <c r="J31" s="475"/>
      <c r="K31" s="475"/>
      <c r="L31" s="476"/>
    </row>
    <row r="32" spans="1:12" ht="12" customHeight="1" x14ac:dyDescent="0.2">
      <c r="A32" s="474"/>
      <c r="B32" s="475"/>
      <c r="C32" s="475"/>
      <c r="D32" s="476"/>
      <c r="E32" s="474"/>
      <c r="F32" s="475"/>
      <c r="G32" s="475"/>
      <c r="H32" s="476"/>
      <c r="I32" s="474"/>
      <c r="J32" s="475"/>
      <c r="K32" s="475"/>
      <c r="L32" s="476"/>
    </row>
    <row r="33" spans="1:12" ht="12" customHeight="1" x14ac:dyDescent="0.2">
      <c r="A33" s="474"/>
      <c r="B33" s="475"/>
      <c r="C33" s="475"/>
      <c r="D33" s="476"/>
      <c r="E33" s="474"/>
      <c r="F33" s="475"/>
      <c r="G33" s="475"/>
      <c r="H33" s="476"/>
      <c r="I33" s="474"/>
      <c r="J33" s="475"/>
      <c r="K33" s="475"/>
      <c r="L33" s="476"/>
    </row>
    <row r="34" spans="1:12" ht="12" customHeight="1" x14ac:dyDescent="0.2">
      <c r="A34" s="474"/>
      <c r="B34" s="475"/>
      <c r="C34" s="475"/>
      <c r="D34" s="476"/>
      <c r="E34" s="474"/>
      <c r="F34" s="475"/>
      <c r="G34" s="475"/>
      <c r="H34" s="476"/>
      <c r="I34" s="474"/>
      <c r="J34" s="475"/>
      <c r="K34" s="475"/>
      <c r="L34" s="476"/>
    </row>
    <row r="35" spans="1:12" ht="12" customHeight="1" x14ac:dyDescent="0.2">
      <c r="A35" s="474"/>
      <c r="B35" s="475"/>
      <c r="C35" s="475"/>
      <c r="D35" s="476"/>
      <c r="E35" s="474"/>
      <c r="F35" s="475"/>
      <c r="G35" s="475"/>
      <c r="H35" s="476"/>
      <c r="I35" s="474"/>
      <c r="J35" s="475"/>
      <c r="K35" s="475"/>
      <c r="L35" s="476"/>
    </row>
    <row r="36" spans="1:12" ht="12" customHeight="1" x14ac:dyDescent="0.2">
      <c r="A36" s="477"/>
      <c r="B36" s="478"/>
      <c r="C36" s="478"/>
      <c r="D36" s="479"/>
      <c r="E36" s="477"/>
      <c r="F36" s="478"/>
      <c r="G36" s="478"/>
      <c r="H36" s="479"/>
      <c r="I36" s="477"/>
      <c r="J36" s="478"/>
      <c r="K36" s="478"/>
      <c r="L36" s="479"/>
    </row>
    <row r="37" spans="1:12" ht="12" customHeight="1" x14ac:dyDescent="0.2">
      <c r="A37" s="471"/>
      <c r="B37" s="472"/>
      <c r="C37" s="472"/>
      <c r="D37" s="473"/>
      <c r="E37" s="471"/>
      <c r="F37" s="472"/>
      <c r="G37" s="472"/>
      <c r="H37" s="473"/>
      <c r="I37" s="471"/>
      <c r="J37" s="472"/>
      <c r="K37" s="472"/>
      <c r="L37" s="473"/>
    </row>
    <row r="38" spans="1:12" ht="12" customHeight="1" x14ac:dyDescent="0.2">
      <c r="A38" s="474"/>
      <c r="B38" s="475"/>
      <c r="C38" s="475"/>
      <c r="D38" s="476"/>
      <c r="E38" s="474"/>
      <c r="F38" s="475"/>
      <c r="G38" s="475"/>
      <c r="H38" s="476"/>
      <c r="I38" s="474"/>
      <c r="J38" s="475"/>
      <c r="K38" s="475"/>
      <c r="L38" s="476"/>
    </row>
    <row r="39" spans="1:12" ht="12" customHeight="1" x14ac:dyDescent="0.2">
      <c r="A39" s="474"/>
      <c r="B39" s="475"/>
      <c r="C39" s="475"/>
      <c r="D39" s="476"/>
      <c r="E39" s="474"/>
      <c r="F39" s="475"/>
      <c r="G39" s="475"/>
      <c r="H39" s="476"/>
      <c r="I39" s="474"/>
      <c r="J39" s="475"/>
      <c r="K39" s="475"/>
      <c r="L39" s="476"/>
    </row>
    <row r="40" spans="1:12" ht="12" customHeight="1" x14ac:dyDescent="0.2">
      <c r="A40" s="474"/>
      <c r="B40" s="475"/>
      <c r="C40" s="475"/>
      <c r="D40" s="476"/>
      <c r="E40" s="474"/>
      <c r="F40" s="475"/>
      <c r="G40" s="475"/>
      <c r="H40" s="476"/>
      <c r="I40" s="474"/>
      <c r="J40" s="475"/>
      <c r="K40" s="475"/>
      <c r="L40" s="476"/>
    </row>
    <row r="41" spans="1:12" ht="12" customHeight="1" x14ac:dyDescent="0.2">
      <c r="A41" s="474"/>
      <c r="B41" s="475"/>
      <c r="C41" s="475"/>
      <c r="D41" s="476"/>
      <c r="E41" s="474"/>
      <c r="F41" s="475"/>
      <c r="G41" s="475"/>
      <c r="H41" s="476"/>
      <c r="I41" s="474"/>
      <c r="J41" s="475"/>
      <c r="K41" s="475"/>
      <c r="L41" s="476"/>
    </row>
    <row r="42" spans="1:12" ht="12" customHeight="1" x14ac:dyDescent="0.2">
      <c r="A42" s="474"/>
      <c r="B42" s="475"/>
      <c r="C42" s="475"/>
      <c r="D42" s="476"/>
      <c r="E42" s="474"/>
      <c r="F42" s="475"/>
      <c r="G42" s="475"/>
      <c r="H42" s="476"/>
      <c r="I42" s="474"/>
      <c r="J42" s="475"/>
      <c r="K42" s="475"/>
      <c r="L42" s="476"/>
    </row>
    <row r="43" spans="1:12" ht="12" customHeight="1" x14ac:dyDescent="0.2">
      <c r="A43" s="474"/>
      <c r="B43" s="475"/>
      <c r="C43" s="475"/>
      <c r="D43" s="476"/>
      <c r="E43" s="474"/>
      <c r="F43" s="475"/>
      <c r="G43" s="475"/>
      <c r="H43" s="476"/>
      <c r="I43" s="474"/>
      <c r="J43" s="475"/>
      <c r="K43" s="475"/>
      <c r="L43" s="476"/>
    </row>
    <row r="44" spans="1:12" ht="12" customHeight="1" x14ac:dyDescent="0.2">
      <c r="A44" s="474"/>
      <c r="B44" s="475"/>
      <c r="C44" s="475"/>
      <c r="D44" s="476"/>
      <c r="E44" s="474"/>
      <c r="F44" s="475"/>
      <c r="G44" s="475"/>
      <c r="H44" s="476"/>
      <c r="I44" s="474"/>
      <c r="J44" s="475"/>
      <c r="K44" s="475"/>
      <c r="L44" s="476"/>
    </row>
    <row r="45" spans="1:12" ht="12" customHeight="1" x14ac:dyDescent="0.2">
      <c r="A45" s="474"/>
      <c r="B45" s="475"/>
      <c r="C45" s="475"/>
      <c r="D45" s="476"/>
      <c r="E45" s="474"/>
      <c r="F45" s="475"/>
      <c r="G45" s="475"/>
      <c r="H45" s="476"/>
      <c r="I45" s="474"/>
      <c r="J45" s="475"/>
      <c r="K45" s="475"/>
      <c r="L45" s="476"/>
    </row>
    <row r="46" spans="1:12" ht="12" customHeight="1" x14ac:dyDescent="0.2">
      <c r="A46" s="474"/>
      <c r="B46" s="475"/>
      <c r="C46" s="475"/>
      <c r="D46" s="476"/>
      <c r="E46" s="474"/>
      <c r="F46" s="475"/>
      <c r="G46" s="475"/>
      <c r="H46" s="476"/>
      <c r="I46" s="474"/>
      <c r="J46" s="475"/>
      <c r="K46" s="475"/>
      <c r="L46" s="476"/>
    </row>
    <row r="47" spans="1:12" ht="12" customHeight="1" x14ac:dyDescent="0.2">
      <c r="A47" s="474"/>
      <c r="B47" s="475"/>
      <c r="C47" s="475"/>
      <c r="D47" s="476"/>
      <c r="E47" s="474"/>
      <c r="F47" s="475"/>
      <c r="G47" s="475"/>
      <c r="H47" s="476"/>
      <c r="I47" s="474"/>
      <c r="J47" s="475"/>
      <c r="K47" s="475"/>
      <c r="L47" s="476"/>
    </row>
    <row r="48" spans="1:12" ht="12" customHeight="1" x14ac:dyDescent="0.2">
      <c r="A48" s="474"/>
      <c r="B48" s="475"/>
      <c r="C48" s="475"/>
      <c r="D48" s="476"/>
      <c r="E48" s="474"/>
      <c r="F48" s="475"/>
      <c r="G48" s="475"/>
      <c r="H48" s="476"/>
      <c r="I48" s="474"/>
      <c r="J48" s="475"/>
      <c r="K48" s="475"/>
      <c r="L48" s="476"/>
    </row>
    <row r="49" spans="1:12" ht="12" customHeight="1" x14ac:dyDescent="0.2">
      <c r="A49" s="474"/>
      <c r="B49" s="475"/>
      <c r="C49" s="475"/>
      <c r="D49" s="476"/>
      <c r="E49" s="474"/>
      <c r="F49" s="475"/>
      <c r="G49" s="475"/>
      <c r="H49" s="476"/>
      <c r="I49" s="474"/>
      <c r="J49" s="475"/>
      <c r="K49" s="475"/>
      <c r="L49" s="476"/>
    </row>
    <row r="50" spans="1:12" ht="12" customHeight="1" x14ac:dyDescent="0.2">
      <c r="A50" s="474"/>
      <c r="B50" s="475"/>
      <c r="C50" s="475"/>
      <c r="D50" s="476"/>
      <c r="E50" s="474"/>
      <c r="F50" s="475"/>
      <c r="G50" s="475"/>
      <c r="H50" s="476"/>
      <c r="I50" s="474"/>
      <c r="J50" s="475"/>
      <c r="K50" s="475"/>
      <c r="L50" s="476"/>
    </row>
    <row r="51" spans="1:12" ht="12" customHeight="1" x14ac:dyDescent="0.2">
      <c r="A51" s="477"/>
      <c r="B51" s="478"/>
      <c r="C51" s="478"/>
      <c r="D51" s="479"/>
      <c r="E51" s="477"/>
      <c r="F51" s="478"/>
      <c r="G51" s="478"/>
      <c r="H51" s="479"/>
      <c r="I51" s="477"/>
      <c r="J51" s="478"/>
      <c r="K51" s="478"/>
      <c r="L51" s="479"/>
    </row>
    <row r="52" spans="1:12" ht="12" customHeight="1" x14ac:dyDescent="0.2">
      <c r="A52" s="271"/>
      <c r="B52" s="363"/>
      <c r="C52" s="363"/>
      <c r="D52" s="363"/>
      <c r="E52" s="363"/>
      <c r="F52" s="363"/>
      <c r="G52" s="363"/>
      <c r="H52" s="364"/>
      <c r="I52" s="364"/>
      <c r="J52" s="364"/>
      <c r="K52" s="364"/>
      <c r="L52" s="272"/>
    </row>
    <row r="53" spans="1:12" s="24" customFormat="1" ht="12" customHeight="1" x14ac:dyDescent="0.2">
      <c r="A53" s="188"/>
      <c r="B53" s="624" t="s">
        <v>135</v>
      </c>
      <c r="C53" s="624"/>
      <c r="D53" s="624"/>
      <c r="E53" s="624"/>
      <c r="F53" s="624"/>
      <c r="G53" s="624"/>
      <c r="H53" s="191"/>
      <c r="I53" s="191"/>
      <c r="J53" s="189"/>
      <c r="K53" s="190"/>
      <c r="L53" s="280"/>
    </row>
    <row r="54" spans="1:12" s="24" customFormat="1" ht="12" customHeight="1" x14ac:dyDescent="0.2">
      <c r="A54" s="188"/>
      <c r="B54" s="622" t="s">
        <v>137</v>
      </c>
      <c r="C54" s="622"/>
      <c r="D54" s="622"/>
      <c r="E54" s="622"/>
      <c r="F54" s="622"/>
      <c r="G54" s="622"/>
      <c r="H54" s="191"/>
      <c r="I54" s="191"/>
      <c r="J54" s="189"/>
      <c r="K54" s="192"/>
      <c r="L54" s="280"/>
    </row>
    <row r="55" spans="1:12" s="24" customFormat="1" ht="12" customHeight="1" x14ac:dyDescent="0.2">
      <c r="A55" s="193"/>
      <c r="B55" s="623" t="s">
        <v>140</v>
      </c>
      <c r="C55" s="623"/>
      <c r="D55" s="623"/>
      <c r="E55" s="623"/>
      <c r="F55" s="623"/>
      <c r="G55" s="623"/>
      <c r="H55" s="274"/>
      <c r="I55" s="274"/>
      <c r="J55" s="194"/>
      <c r="K55" s="195"/>
      <c r="L55" s="281"/>
    </row>
  </sheetData>
  <mergeCells count="14">
    <mergeCell ref="B55:G55"/>
    <mergeCell ref="A2:L2"/>
    <mergeCell ref="A1:L1"/>
    <mergeCell ref="A37:D51"/>
    <mergeCell ref="E37:H51"/>
    <mergeCell ref="I37:L51"/>
    <mergeCell ref="B53:G53"/>
    <mergeCell ref="B54:G54"/>
    <mergeCell ref="A7:D21"/>
    <mergeCell ref="E7:H21"/>
    <mergeCell ref="I7:L21"/>
    <mergeCell ref="A22:D36"/>
    <mergeCell ref="E22:H36"/>
    <mergeCell ref="I22:L36"/>
  </mergeCells>
  <printOptions horizontalCentered="1"/>
  <pageMargins left="0.19685039370078741" right="0.19685039370078741" top="0.19685039370078741" bottom="0.19685039370078741" header="0" footer="0"/>
  <pageSetup paperSize="9" scale="80" orientation="landscape" horizontalDpi="400" verticalDpi="400" r:id="rId1"/>
  <headerFooter alignWithMargins="0">
    <oddFooter>&amp;CFolha &amp;P de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6" r:id="rId4" name="Button 4">
              <controlPr defaultSize="0" print="0" autoFill="0" autoPict="0" macro="[0]!ImportarFoto">
                <anchor moveWithCells="1">
                  <from>
                    <xdr:col>0</xdr:col>
                    <xdr:colOff>409575</xdr:colOff>
                    <xdr:row>52</xdr:row>
                    <xdr:rowOff>57150</xdr:rowOff>
                  </from>
                  <to>
                    <xdr:col>1</xdr:col>
                    <xdr:colOff>542925</xdr:colOff>
                    <xdr:row>54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F53C2-C637-45AF-AF64-5D796F00B642}">
  <sheetPr codeName="Planilha10">
    <pageSetUpPr fitToPage="1"/>
  </sheetPr>
  <dimension ref="A1:AH78"/>
  <sheetViews>
    <sheetView showGridLines="0" showZeros="0" view="pageBreakPreview" zoomScaleNormal="100" zoomScaleSheetLayoutView="100" workbookViewId="0">
      <pane ySplit="7" topLeftCell="A8" activePane="bottomLeft" state="frozen"/>
      <selection pane="bottomLeft" activeCell="B15" sqref="B15"/>
    </sheetView>
  </sheetViews>
  <sheetFormatPr defaultColWidth="9.140625" defaultRowHeight="12.75" x14ac:dyDescent="0.2"/>
  <cols>
    <col min="1" max="1" width="7.140625" style="215" customWidth="1"/>
    <col min="2" max="2" width="117.7109375" style="215" customWidth="1"/>
    <col min="3" max="3" width="5.7109375" style="215" customWidth="1"/>
    <col min="4" max="4" width="12.28515625" style="215" customWidth="1"/>
    <col min="5" max="14" width="11.7109375" style="215" customWidth="1"/>
    <col min="15" max="15" width="13.7109375" style="215" hidden="1" customWidth="1"/>
    <col min="16" max="16" width="17.85546875" style="215" hidden="1" customWidth="1"/>
    <col min="17" max="17" width="14.5703125" style="215" hidden="1" customWidth="1"/>
    <col min="18" max="18" width="16.5703125" style="215" hidden="1" customWidth="1"/>
    <col min="19" max="31" width="9.140625" style="215" hidden="1" customWidth="1"/>
    <col min="32" max="32" width="9.7109375" style="215" bestFit="1" customWidth="1"/>
    <col min="33" max="16384" width="9.140625" style="215"/>
  </cols>
  <sheetData>
    <row r="1" spans="1:34" ht="54.6" customHeight="1" x14ac:dyDescent="0.2">
      <c r="A1" s="503"/>
      <c r="B1" s="504"/>
      <c r="C1" s="504"/>
      <c r="D1" s="504"/>
      <c r="E1" s="504"/>
      <c r="F1" s="504"/>
      <c r="G1" s="504"/>
      <c r="H1" s="504"/>
      <c r="I1" s="504"/>
      <c r="J1" s="504"/>
      <c r="K1" s="504"/>
      <c r="L1" s="504"/>
      <c r="M1" s="504"/>
      <c r="N1" s="505"/>
    </row>
    <row r="2" spans="1:34" ht="13.9" customHeight="1" x14ac:dyDescent="0.2">
      <c r="A2" s="636" t="s">
        <v>166</v>
      </c>
      <c r="B2" s="637"/>
      <c r="C2" s="637"/>
      <c r="D2" s="637"/>
      <c r="E2" s="637"/>
      <c r="F2" s="637"/>
      <c r="G2" s="637"/>
      <c r="H2" s="637"/>
      <c r="I2" s="637"/>
      <c r="J2" s="637"/>
      <c r="K2" s="637"/>
      <c r="L2" s="261" t="s">
        <v>189</v>
      </c>
      <c r="M2" s="253"/>
      <c r="N2" s="259" t="s">
        <v>175</v>
      </c>
      <c r="AF2" s="285"/>
    </row>
    <row r="3" spans="1:34" ht="15" customHeight="1" x14ac:dyDescent="0.2">
      <c r="A3" s="265" t="s">
        <v>172</v>
      </c>
      <c r="B3" s="266" t="s">
        <v>171</v>
      </c>
      <c r="C3" s="266"/>
      <c r="D3" s="266"/>
      <c r="E3" s="266"/>
      <c r="F3" s="266"/>
      <c r="G3" s="266"/>
      <c r="H3" s="266"/>
      <c r="I3" s="266"/>
      <c r="J3" s="266"/>
      <c r="K3" s="267"/>
      <c r="L3" s="283" t="s">
        <v>167</v>
      </c>
      <c r="M3" s="632">
        <f>'BM 01'!N4</f>
        <v>46244</v>
      </c>
      <c r="N3" s="633"/>
      <c r="O3" s="216"/>
      <c r="P3" s="216"/>
      <c r="Q3" s="216"/>
      <c r="R3" s="216"/>
      <c r="S3" s="216"/>
      <c r="T3" s="216"/>
      <c r="U3" s="216"/>
      <c r="V3" s="216"/>
      <c r="W3" s="216"/>
      <c r="X3" s="216"/>
      <c r="Y3" s="216"/>
      <c r="Z3" s="216"/>
      <c r="AA3" s="216"/>
      <c r="AB3" s="216"/>
      <c r="AC3" s="216"/>
      <c r="AD3" s="216"/>
      <c r="AE3" s="216"/>
      <c r="AF3" s="216"/>
      <c r="AG3" s="216"/>
      <c r="AH3" s="216"/>
    </row>
    <row r="4" spans="1:34" x14ac:dyDescent="0.2">
      <c r="A4" s="626" t="str">
        <f>PLAN!A3</f>
        <v>OBRA: SERVIÇOS DE INFRAESTRUTURA</v>
      </c>
      <c r="B4" s="627"/>
      <c r="C4" s="627"/>
      <c r="D4" s="627"/>
      <c r="E4" s="627"/>
      <c r="F4" s="627"/>
      <c r="G4" s="627"/>
      <c r="H4" s="627"/>
      <c r="I4" s="627"/>
      <c r="J4" s="627"/>
      <c r="K4" s="628"/>
      <c r="L4" s="253" t="s">
        <v>169</v>
      </c>
      <c r="M4" s="632"/>
      <c r="N4" s="633"/>
      <c r="O4" s="216"/>
      <c r="P4" s="216"/>
      <c r="Q4" s="216"/>
      <c r="R4" s="216"/>
      <c r="S4" s="216"/>
      <c r="T4" s="216"/>
      <c r="U4" s="216"/>
      <c r="V4" s="216"/>
      <c r="W4" s="216"/>
      <c r="X4" s="216"/>
      <c r="Y4" s="216"/>
      <c r="Z4" s="216"/>
      <c r="AA4" s="216"/>
      <c r="AB4" s="216"/>
      <c r="AC4" s="216"/>
      <c r="AD4" s="216"/>
      <c r="AE4" s="216"/>
      <c r="AF4" s="216"/>
      <c r="AG4" s="216"/>
      <c r="AH4" s="216"/>
    </row>
    <row r="5" spans="1:34" ht="15" customHeight="1" x14ac:dyDescent="0.2">
      <c r="A5" s="629" t="str">
        <f>PLAN!A4</f>
        <v>LOCAL: ÁREAS PÚBLICAS MUNICIPAIS DE SANTA CRUZ DO ESCALVADO (MG)</v>
      </c>
      <c r="B5" s="630"/>
      <c r="C5" s="630"/>
      <c r="D5" s="630"/>
      <c r="E5" s="630"/>
      <c r="F5" s="630"/>
      <c r="G5" s="630"/>
      <c r="H5" s="630"/>
      <c r="I5" s="630"/>
      <c r="J5" s="630"/>
      <c r="K5" s="631"/>
      <c r="L5" s="263" t="s">
        <v>170</v>
      </c>
      <c r="M5" s="634"/>
      <c r="N5" s="635"/>
      <c r="O5" s="216"/>
      <c r="P5" s="216"/>
      <c r="Q5" s="216"/>
      <c r="R5" s="216"/>
      <c r="S5" s="216"/>
      <c r="T5" s="216"/>
      <c r="U5" s="216"/>
      <c r="V5" s="216"/>
      <c r="W5" s="216"/>
      <c r="X5" s="216"/>
      <c r="Y5" s="216"/>
      <c r="Z5" s="216"/>
      <c r="AA5" s="216"/>
      <c r="AB5" s="216"/>
      <c r="AC5" s="216"/>
      <c r="AD5" s="216"/>
      <c r="AE5" s="216"/>
      <c r="AF5" s="216"/>
      <c r="AG5" s="216"/>
      <c r="AH5" s="216"/>
    </row>
    <row r="6" spans="1:34" ht="15" customHeight="1" x14ac:dyDescent="0.2">
      <c r="A6" s="626" t="s">
        <v>154</v>
      </c>
      <c r="B6" s="642"/>
      <c r="C6" s="642"/>
      <c r="D6" s="642"/>
      <c r="E6" s="642"/>
      <c r="F6" s="642"/>
      <c r="G6" s="643"/>
      <c r="H6" s="644" t="s">
        <v>156</v>
      </c>
      <c r="I6" s="645"/>
      <c r="J6" s="644" t="s">
        <v>157</v>
      </c>
      <c r="K6" s="645"/>
      <c r="L6" s="264" t="s">
        <v>155</v>
      </c>
      <c r="M6" s="255">
        <f>PLAN!H6</f>
        <v>0.26469999999999999</v>
      </c>
      <c r="N6" s="254"/>
      <c r="O6" s="217" t="e">
        <f>F65</f>
        <v>#REF!</v>
      </c>
      <c r="P6" s="218"/>
      <c r="Q6" s="219"/>
      <c r="R6" s="216"/>
      <c r="S6" s="216"/>
      <c r="T6" s="216"/>
      <c r="U6" s="216"/>
      <c r="V6" s="216"/>
      <c r="W6" s="216"/>
      <c r="X6" s="216"/>
      <c r="Y6" s="216"/>
      <c r="Z6" s="216"/>
      <c r="AA6" s="216"/>
      <c r="AB6" s="216"/>
      <c r="AC6" s="216"/>
      <c r="AD6" s="216"/>
      <c r="AE6" s="216"/>
      <c r="AF6" s="216"/>
      <c r="AG6" s="216"/>
      <c r="AH6" s="216"/>
    </row>
    <row r="7" spans="1:34" ht="43.9" customHeight="1" x14ac:dyDescent="0.2">
      <c r="A7" s="256" t="s">
        <v>0</v>
      </c>
      <c r="B7" s="256" t="s">
        <v>132</v>
      </c>
      <c r="C7" s="257" t="s">
        <v>13</v>
      </c>
      <c r="D7" s="257" t="s">
        <v>143</v>
      </c>
      <c r="E7" s="257" t="s">
        <v>144</v>
      </c>
      <c r="F7" s="257" t="s">
        <v>145</v>
      </c>
      <c r="G7" s="257" t="s">
        <v>159</v>
      </c>
      <c r="H7" s="258" t="s">
        <v>160</v>
      </c>
      <c r="I7" s="258" t="s">
        <v>161</v>
      </c>
      <c r="J7" s="258" t="s">
        <v>173</v>
      </c>
      <c r="K7" s="258" t="s">
        <v>162</v>
      </c>
      <c r="L7" s="262" t="s">
        <v>163</v>
      </c>
      <c r="M7" s="262" t="s">
        <v>164</v>
      </c>
      <c r="N7" s="262" t="s">
        <v>165</v>
      </c>
      <c r="O7" s="220"/>
      <c r="P7" s="221">
        <v>0.26890000000000003</v>
      </c>
      <c r="Q7" s="216"/>
      <c r="R7" s="216"/>
      <c r="S7" s="216"/>
      <c r="T7" s="216"/>
      <c r="U7" s="216"/>
      <c r="V7" s="216"/>
      <c r="W7" s="216"/>
      <c r="X7" s="216"/>
      <c r="Y7" s="216"/>
      <c r="Z7" s="216"/>
      <c r="AA7" s="216"/>
      <c r="AB7" s="216"/>
      <c r="AC7" s="216"/>
      <c r="AD7" s="216"/>
      <c r="AE7" s="216"/>
      <c r="AF7" s="216"/>
      <c r="AG7" s="216"/>
      <c r="AH7" s="216"/>
    </row>
    <row r="8" spans="1:34" ht="13.9" customHeight="1" x14ac:dyDescent="0.2">
      <c r="A8" s="296">
        <f>PLAN!A8</f>
        <v>1</v>
      </c>
      <c r="B8" s="299" t="str">
        <f>PLAN!C8</f>
        <v>ADMINISTRAÇÃO LOCAL</v>
      </c>
      <c r="C8" s="296">
        <f>PLAN!D8</f>
        <v>0</v>
      </c>
      <c r="D8" s="121"/>
      <c r="E8" s="323"/>
      <c r="F8" s="227"/>
      <c r="G8" s="227"/>
      <c r="H8" s="227"/>
      <c r="I8" s="227"/>
      <c r="J8" s="227"/>
      <c r="K8" s="300"/>
      <c r="L8" s="227"/>
      <c r="M8" s="324"/>
      <c r="N8" s="227"/>
      <c r="O8" s="220"/>
      <c r="P8" s="216"/>
      <c r="Q8" s="216"/>
      <c r="R8" s="216"/>
      <c r="S8" s="216"/>
      <c r="T8" s="216"/>
      <c r="U8" s="216"/>
      <c r="V8" s="216"/>
      <c r="W8" s="216"/>
      <c r="X8" s="216"/>
      <c r="Y8" s="216"/>
      <c r="Z8" s="216"/>
      <c r="AA8" s="216"/>
      <c r="AB8" s="216"/>
      <c r="AC8" s="216"/>
      <c r="AD8" s="216"/>
      <c r="AE8" s="216"/>
      <c r="AF8" s="216"/>
      <c r="AG8" s="216"/>
      <c r="AH8" s="216"/>
    </row>
    <row r="9" spans="1:34" ht="13.9" customHeight="1" x14ac:dyDescent="0.2">
      <c r="A9" s="296" t="str">
        <f>PLAN!A9</f>
        <v xml:space="preserve"> 1.1 </v>
      </c>
      <c r="B9" s="299" t="str">
        <f>PLAN!C9</f>
        <v>ENCARREGADO GERAL DE OBRAS COM ENCARGOS COMPLEMENTARES</v>
      </c>
      <c r="C9" s="296" t="str">
        <f>PLAN!D9</f>
        <v>MÊS</v>
      </c>
      <c r="D9" s="121">
        <f>PLAN!E9</f>
        <v>2.1800000000000002</v>
      </c>
      <c r="E9" s="227">
        <f>PLAN!G9</f>
        <v>12293.01</v>
      </c>
      <c r="F9" s="227">
        <f>ROUND(D9*E9,2)</f>
        <v>26798.76</v>
      </c>
      <c r="G9" s="227"/>
      <c r="H9" s="227">
        <v>2.1818181818181817</v>
      </c>
      <c r="I9" s="227">
        <f>H9+G9</f>
        <v>2.1818181818181817</v>
      </c>
      <c r="J9" s="227">
        <f>D9-I9</f>
        <v>-1.8181818181814968E-3</v>
      </c>
      <c r="K9" s="300">
        <f>ROUND(H9*E9,2)</f>
        <v>26821.11</v>
      </c>
      <c r="L9" s="227">
        <f>ROUND(I9*E9,2)</f>
        <v>26821.11</v>
      </c>
      <c r="M9" s="324">
        <f>ROUND(L9/F9,4)</f>
        <v>1.0007999999999999</v>
      </c>
      <c r="N9" s="227">
        <f>F9-L9</f>
        <v>-22.350000000002183</v>
      </c>
      <c r="O9" s="220"/>
      <c r="P9" s="216"/>
      <c r="Q9" s="216"/>
      <c r="R9" s="216"/>
      <c r="S9" s="216"/>
      <c r="T9" s="216"/>
      <c r="U9" s="216"/>
      <c r="V9" s="216"/>
      <c r="W9" s="216"/>
      <c r="X9" s="216"/>
      <c r="Y9" s="216"/>
      <c r="Z9" s="216"/>
      <c r="AA9" s="216"/>
      <c r="AB9" s="216"/>
      <c r="AC9" s="216"/>
      <c r="AD9" s="216"/>
      <c r="AE9" s="216"/>
      <c r="AF9" s="260"/>
      <c r="AG9" s="260"/>
      <c r="AH9" s="216"/>
    </row>
    <row r="10" spans="1:34" ht="13.9" customHeight="1" x14ac:dyDescent="0.2">
      <c r="A10" s="296" t="str">
        <f>PLAN!A10</f>
        <v xml:space="preserve"> 1.2</v>
      </c>
      <c r="B10" s="299" t="str">
        <f>PLAN!C10</f>
        <v>TÉCNICO EM SEGURANÇA DO TRABALHO COM ENCARGOS COMPLEMENTARES</v>
      </c>
      <c r="C10" s="296" t="str">
        <f>PLAN!D10</f>
        <v>MÊS</v>
      </c>
      <c r="D10" s="121">
        <f>PLAN!E10</f>
        <v>0.03</v>
      </c>
      <c r="E10" s="227">
        <f>PLAN!G10</f>
        <v>10433.19</v>
      </c>
      <c r="F10" s="227">
        <f t="shared" ref="F10:F44" si="0">ROUND(D10*E10,2)</f>
        <v>313</v>
      </c>
      <c r="G10" s="227"/>
      <c r="H10" s="227">
        <v>2.7272727272727271E-2</v>
      </c>
      <c r="I10" s="227">
        <f t="shared" ref="I10:I44" si="1">H10+G10</f>
        <v>2.7272727272727271E-2</v>
      </c>
      <c r="J10" s="227">
        <f t="shared" ref="J10:J44" si="2">D10-I10</f>
        <v>2.7272727272727275E-3</v>
      </c>
      <c r="K10" s="300">
        <f t="shared" ref="K10:K44" si="3">ROUND(H10*E10,2)</f>
        <v>284.54000000000002</v>
      </c>
      <c r="L10" s="227">
        <f t="shared" ref="L10:L44" si="4">ROUND(I10*E10,2)</f>
        <v>284.54000000000002</v>
      </c>
      <c r="M10" s="324">
        <f t="shared" ref="M10:M44" si="5">ROUND(L10/F10,4)</f>
        <v>0.90910000000000002</v>
      </c>
      <c r="N10" s="227">
        <f t="shared" ref="N10:N44" si="6">F10-L10</f>
        <v>28.45999999999998</v>
      </c>
      <c r="O10" s="220"/>
      <c r="P10" s="216"/>
      <c r="Q10" s="216"/>
      <c r="R10" s="216"/>
      <c r="S10" s="216"/>
      <c r="T10" s="216"/>
      <c r="U10" s="216"/>
      <c r="V10" s="216"/>
      <c r="W10" s="216"/>
      <c r="X10" s="216"/>
      <c r="Y10" s="216"/>
      <c r="Z10" s="216"/>
      <c r="AA10" s="216"/>
      <c r="AB10" s="216"/>
      <c r="AC10" s="216"/>
      <c r="AD10" s="216"/>
      <c r="AE10" s="216"/>
      <c r="AF10" s="260"/>
      <c r="AG10" s="260"/>
      <c r="AH10" s="216"/>
    </row>
    <row r="11" spans="1:34" ht="13.9" customHeight="1" x14ac:dyDescent="0.2">
      <c r="A11" s="296" t="str">
        <f>PLAN!A11</f>
        <v xml:space="preserve"> 1.3</v>
      </c>
      <c r="B11" s="299" t="str">
        <f>PLAN!C11</f>
        <v>ENGENHEIRO CIVIL DE OBRA PLENO COM ENCARGOS COMPLEMENTARES</v>
      </c>
      <c r="C11" s="296" t="str">
        <f>PLAN!D11</f>
        <v>MÊS</v>
      </c>
      <c r="D11" s="121">
        <f>PLAN!E11</f>
        <v>0.03</v>
      </c>
      <c r="E11" s="227">
        <f>PLAN!G11</f>
        <v>30092.51</v>
      </c>
      <c r="F11" s="227">
        <f t="shared" si="0"/>
        <v>902.78</v>
      </c>
      <c r="G11" s="227"/>
      <c r="H11" s="227">
        <v>5.4545454545454543E-2</v>
      </c>
      <c r="I11" s="227">
        <f t="shared" si="1"/>
        <v>5.4545454545454543E-2</v>
      </c>
      <c r="J11" s="227">
        <f t="shared" si="2"/>
        <v>-2.4545454545454544E-2</v>
      </c>
      <c r="K11" s="300">
        <f t="shared" si="3"/>
        <v>1641.41</v>
      </c>
      <c r="L11" s="227">
        <f t="shared" si="4"/>
        <v>1641.41</v>
      </c>
      <c r="M11" s="324">
        <f t="shared" si="5"/>
        <v>1.8182</v>
      </c>
      <c r="N11" s="227">
        <f t="shared" si="6"/>
        <v>-738.63000000000011</v>
      </c>
      <c r="O11" s="222">
        <f>SUM(F9:F11)</f>
        <v>28014.539999999997</v>
      </c>
      <c r="P11" s="223" t="e">
        <f>O11/F65</f>
        <v>#REF!</v>
      </c>
      <c r="Q11" s="216"/>
      <c r="R11" s="216"/>
      <c r="S11" s="216"/>
      <c r="T11" s="216"/>
      <c r="U11" s="216"/>
      <c r="V11" s="216"/>
      <c r="W11" s="216"/>
      <c r="X11" s="216"/>
      <c r="Y11" s="216"/>
      <c r="Z11" s="216"/>
      <c r="AA11" s="216"/>
      <c r="AB11" s="216"/>
      <c r="AC11" s="216"/>
      <c r="AD11" s="216"/>
      <c r="AE11" s="216"/>
      <c r="AF11" s="260"/>
      <c r="AG11" s="260"/>
      <c r="AH11" s="216"/>
    </row>
    <row r="12" spans="1:34" ht="13.9" customHeight="1" x14ac:dyDescent="0.2">
      <c r="A12" s="296">
        <f>PLAN!A12</f>
        <v>2</v>
      </c>
      <c r="B12" s="299" t="str">
        <f>PLAN!C12</f>
        <v>SERVIÇOS PRELIMINARES</v>
      </c>
      <c r="C12" s="296">
        <f>PLAN!D12</f>
        <v>0</v>
      </c>
      <c r="D12" s="121"/>
      <c r="E12" s="227"/>
      <c r="F12" s="227"/>
      <c r="G12" s="227"/>
      <c r="H12" s="227"/>
      <c r="I12" s="227"/>
      <c r="J12" s="227"/>
      <c r="K12" s="300"/>
      <c r="L12" s="227"/>
      <c r="M12" s="324"/>
      <c r="N12" s="227"/>
      <c r="O12" s="220"/>
      <c r="P12" s="216"/>
      <c r="Q12" s="216"/>
      <c r="R12" s="216"/>
      <c r="S12" s="216"/>
      <c r="T12" s="216"/>
      <c r="U12" s="216"/>
      <c r="V12" s="216"/>
      <c r="W12" s="216"/>
      <c r="X12" s="216"/>
      <c r="Y12" s="216"/>
      <c r="Z12" s="216"/>
      <c r="AA12" s="216"/>
      <c r="AB12" s="216"/>
      <c r="AC12" s="216"/>
      <c r="AD12" s="216"/>
      <c r="AE12" s="216"/>
      <c r="AF12" s="216"/>
      <c r="AG12" s="216"/>
      <c r="AH12" s="216"/>
    </row>
    <row r="13" spans="1:34" ht="24" customHeight="1" x14ac:dyDescent="0.2">
      <c r="A13" s="296" t="str">
        <f>PLAN!A13</f>
        <v>2.1</v>
      </c>
      <c r="B13" s="299" t="str">
        <f>PLAN!C13</f>
        <v>FORNECIMENTO E COLOCAÇÃO DE PLACA DE OBRA EM CHAPA GALVANIZADA #26, ESP. 0,45 MM, PLOTADA COM ADESIVO VINÍLICO, AFIXADA C/ REBITES 4,8X40 MM, EM ESTRUTURA METÁLICA DE METALON 20X20 MM, ESP. 1,25 MM, INCL SUPORTE EM EUCALIPTO AUTOCLAVADO PINTADO COM TINTA PVA DUAS (2) DEMÃOS</v>
      </c>
      <c r="C13" s="296" t="str">
        <f>PLAN!D13</f>
        <v>M2</v>
      </c>
      <c r="D13" s="121">
        <f>PLAN!E13</f>
        <v>2</v>
      </c>
      <c r="E13" s="227">
        <f>PLAN!G13</f>
        <v>331.17</v>
      </c>
      <c r="F13" s="227">
        <f t="shared" si="0"/>
        <v>662.34</v>
      </c>
      <c r="G13" s="227"/>
      <c r="H13" s="227">
        <v>2</v>
      </c>
      <c r="I13" s="227">
        <f t="shared" si="1"/>
        <v>2</v>
      </c>
      <c r="J13" s="227">
        <f t="shared" si="2"/>
        <v>0</v>
      </c>
      <c r="K13" s="300">
        <f t="shared" si="3"/>
        <v>662.34</v>
      </c>
      <c r="L13" s="227">
        <f t="shared" si="4"/>
        <v>662.34</v>
      </c>
      <c r="M13" s="324">
        <f t="shared" si="5"/>
        <v>1</v>
      </c>
      <c r="N13" s="227">
        <f t="shared" si="6"/>
        <v>0</v>
      </c>
      <c r="O13" s="224"/>
      <c r="P13" s="225">
        <v>0.02</v>
      </c>
      <c r="Q13" s="224"/>
      <c r="R13" s="216"/>
      <c r="S13" s="226"/>
      <c r="T13" s="216"/>
      <c r="U13" s="216"/>
      <c r="V13" s="216"/>
      <c r="W13" s="216"/>
      <c r="X13" s="216"/>
      <c r="Y13" s="216"/>
      <c r="Z13" s="216"/>
      <c r="AA13" s="216"/>
      <c r="AB13" s="216"/>
      <c r="AC13" s="216"/>
      <c r="AD13" s="216"/>
      <c r="AE13" s="216"/>
      <c r="AF13" s="216"/>
      <c r="AG13" s="216"/>
      <c r="AH13" s="216"/>
    </row>
    <row r="14" spans="1:34" ht="13.9" customHeight="1" x14ac:dyDescent="0.2">
      <c r="A14" s="296" t="str">
        <f>PLAN!A14</f>
        <v>2.2</v>
      </c>
      <c r="B14" s="299" t="str">
        <f>PLAN!C14</f>
        <v>MOBILIZAÇÃO E DESMOBILIZAÇÃO OBRA DISTANTE DE CENTRO URBANO OU REGIÃO LIMÍTROFE COM VALOR ATÉ 1.000.000,00</v>
      </c>
      <c r="C14" s="296" t="str">
        <f>PLAN!D14</f>
        <v>%</v>
      </c>
      <c r="D14" s="121">
        <f>PLAN!E14</f>
        <v>0.5</v>
      </c>
      <c r="E14" s="227">
        <f>PLAN!G14</f>
        <v>838064.13</v>
      </c>
      <c r="F14" s="227">
        <f>ROUND(D14*E14,2)/100</f>
        <v>4190.3207000000002</v>
      </c>
      <c r="G14" s="227"/>
      <c r="H14" s="227">
        <v>2</v>
      </c>
      <c r="I14" s="227">
        <f t="shared" si="1"/>
        <v>2</v>
      </c>
      <c r="J14" s="227">
        <f t="shared" si="2"/>
        <v>-1.5</v>
      </c>
      <c r="K14" s="300">
        <f>ROUND(H14*E14,2)/100</f>
        <v>16761.282599999999</v>
      </c>
      <c r="L14" s="227">
        <f>ROUND(I14*E14,2)/100</f>
        <v>16761.282599999999</v>
      </c>
      <c r="M14" s="324">
        <f t="shared" si="5"/>
        <v>4</v>
      </c>
      <c r="N14" s="227">
        <f t="shared" si="6"/>
        <v>-12570.961899999998</v>
      </c>
      <c r="O14" s="222">
        <f>SUM(F13:F14)</f>
        <v>4852.6607000000004</v>
      </c>
      <c r="P14" s="227" t="e">
        <f>P13*F65</f>
        <v>#REF!</v>
      </c>
      <c r="Q14" s="224"/>
      <c r="R14" s="228"/>
      <c r="S14" s="226"/>
      <c r="T14" s="216"/>
      <c r="U14" s="216"/>
      <c r="V14" s="216"/>
      <c r="W14" s="216"/>
      <c r="X14" s="216"/>
      <c r="Y14" s="216"/>
      <c r="Z14" s="216"/>
      <c r="AA14" s="216"/>
      <c r="AB14" s="216"/>
      <c r="AC14" s="216"/>
      <c r="AD14" s="216"/>
      <c r="AE14" s="216"/>
      <c r="AF14" s="216"/>
      <c r="AG14" s="216"/>
      <c r="AH14" s="216"/>
    </row>
    <row r="15" spans="1:34" ht="13.9" customHeight="1" x14ac:dyDescent="0.2">
      <c r="A15" s="296">
        <f>PLAN!A15</f>
        <v>3</v>
      </c>
      <c r="B15" s="299" t="str">
        <f>PLAN!C15</f>
        <v>ÁREA 01 - RUA SAGRADOS CORAÇÕES</v>
      </c>
      <c r="C15" s="296"/>
      <c r="D15" s="121"/>
      <c r="E15" s="227"/>
      <c r="F15" s="227"/>
      <c r="G15" s="227"/>
      <c r="H15" s="227"/>
      <c r="I15" s="227"/>
      <c r="J15" s="227"/>
      <c r="K15" s="300"/>
      <c r="L15" s="227"/>
      <c r="M15" s="324"/>
      <c r="N15" s="227"/>
      <c r="O15" s="229"/>
      <c r="P15" s="226"/>
      <c r="Q15" s="224"/>
      <c r="R15" s="228"/>
      <c r="S15" s="226"/>
      <c r="T15" s="216"/>
      <c r="U15" s="216"/>
      <c r="V15" s="216"/>
      <c r="W15" s="216"/>
      <c r="X15" s="216"/>
      <c r="Y15" s="216"/>
      <c r="Z15" s="216"/>
      <c r="AA15" s="216"/>
      <c r="AB15" s="216"/>
      <c r="AC15" s="216"/>
      <c r="AD15" s="216"/>
      <c r="AE15" s="216"/>
      <c r="AF15" s="216"/>
      <c r="AG15" s="216"/>
      <c r="AH15" s="216"/>
    </row>
    <row r="16" spans="1:34" ht="13.9" customHeight="1" x14ac:dyDescent="0.2">
      <c r="A16" s="296" t="str">
        <f>PLAN!A17</f>
        <v>3.1.1</v>
      </c>
      <c r="B16" s="299" t="str">
        <f>PLAN!C17</f>
        <v xml:space="preserve">REMOÇÃO DE MEIO FIO PRÉ MOLDADO DE CONCRETO </v>
      </c>
      <c r="C16" s="296"/>
      <c r="D16" s="121"/>
      <c r="E16" s="227"/>
      <c r="F16" s="227"/>
      <c r="G16" s="227"/>
      <c r="H16" s="227"/>
      <c r="I16" s="227"/>
      <c r="J16" s="227"/>
      <c r="K16" s="300"/>
      <c r="L16" s="227"/>
      <c r="M16" s="324"/>
      <c r="N16" s="227"/>
      <c r="O16" s="224"/>
      <c r="P16" s="226"/>
      <c r="Q16" s="224"/>
      <c r="R16" s="228"/>
      <c r="S16" s="226"/>
      <c r="T16" s="216"/>
      <c r="U16" s="216"/>
      <c r="V16" s="216"/>
      <c r="W16" s="216"/>
      <c r="X16" s="216"/>
      <c r="Y16" s="216"/>
      <c r="Z16" s="216"/>
      <c r="AA16" s="216"/>
      <c r="AB16" s="216"/>
      <c r="AC16" s="216"/>
      <c r="AD16" s="216"/>
      <c r="AE16" s="216"/>
      <c r="AF16" s="216"/>
      <c r="AG16" s="216"/>
      <c r="AH16" s="216"/>
    </row>
    <row r="17" spans="1:34" ht="13.9" customHeight="1" x14ac:dyDescent="0.2">
      <c r="A17" s="296" t="str">
        <f>PLAN!A19</f>
        <v>3.1.3</v>
      </c>
      <c r="B17" s="299" t="str">
        <f>PLAN!C19</f>
        <v>TRANSPORTE DE MATERIAL DE QUALQUER NATUREZA COM CARRINHO DE MÃO, COM DISTÂNCIAS MENORES OU IGUAIS A 50M, INCLUSIVE CARGA/DESCARGA</v>
      </c>
      <c r="C17" s="296" t="str">
        <f>PLAN!D19</f>
        <v>M3</v>
      </c>
      <c r="D17" s="121">
        <f>PLAN!E19</f>
        <v>5.09</v>
      </c>
      <c r="E17" s="227">
        <f>PLAN!G19</f>
        <v>35.29</v>
      </c>
      <c r="F17" s="227">
        <f t="shared" si="0"/>
        <v>179.63</v>
      </c>
      <c r="G17" s="227"/>
      <c r="H17" s="227">
        <v>2250</v>
      </c>
      <c r="I17" s="227">
        <f t="shared" si="1"/>
        <v>2250</v>
      </c>
      <c r="J17" s="227">
        <f t="shared" si="2"/>
        <v>-2244.91</v>
      </c>
      <c r="K17" s="300">
        <f t="shared" si="3"/>
        <v>79402.5</v>
      </c>
      <c r="L17" s="227">
        <f t="shared" si="4"/>
        <v>79402.5</v>
      </c>
      <c r="M17" s="324">
        <f t="shared" si="5"/>
        <v>442.03359999999998</v>
      </c>
      <c r="N17" s="227">
        <f t="shared" si="6"/>
        <v>-79222.87</v>
      </c>
      <c r="O17" s="224"/>
      <c r="P17" s="226"/>
      <c r="Q17" s="230"/>
      <c r="R17" s="230"/>
      <c r="S17" s="226"/>
      <c r="T17" s="144"/>
      <c r="U17" s="216"/>
      <c r="V17" s="216"/>
      <c r="W17" s="216"/>
      <c r="X17" s="216"/>
      <c r="Y17" s="216"/>
      <c r="Z17" s="216"/>
      <c r="AA17" s="216"/>
      <c r="AB17" s="216"/>
      <c r="AC17" s="216"/>
      <c r="AD17" s="216"/>
      <c r="AE17" s="216"/>
      <c r="AF17" s="216"/>
      <c r="AG17" s="216"/>
      <c r="AH17" s="216"/>
    </row>
    <row r="18" spans="1:34" ht="13.9" customHeight="1" x14ac:dyDescent="0.2">
      <c r="A18" s="296" t="str">
        <f>PLAN!A20</f>
        <v>3.1.4</v>
      </c>
      <c r="B18" s="299" t="str">
        <f>PLAN!C20</f>
        <v>TRANSPORTE DE MATERIAL DE QUALQUER NATUREZA EM CAMINHÃO, DISTÂNCIA MAIOR QUE 1KM E MENOR OU IGUAL A 2KM, DENTRO DO PERÍMETRO URBANO, EXCLUSIVE CARGA, INCLUSIVE DESCARGA</v>
      </c>
      <c r="C18" s="296" t="str">
        <f>PLAN!D20</f>
        <v>M3xKM</v>
      </c>
      <c r="D18" s="121">
        <f>PLAN!E20</f>
        <v>10.18</v>
      </c>
      <c r="E18" s="227">
        <f>PLAN!G20</f>
        <v>5.25</v>
      </c>
      <c r="F18" s="227">
        <f t="shared" si="0"/>
        <v>53.45</v>
      </c>
      <c r="G18" s="227"/>
      <c r="H18" s="227">
        <v>50</v>
      </c>
      <c r="I18" s="227">
        <f t="shared" si="1"/>
        <v>50</v>
      </c>
      <c r="J18" s="227">
        <f t="shared" si="2"/>
        <v>-39.82</v>
      </c>
      <c r="K18" s="300">
        <f t="shared" si="3"/>
        <v>262.5</v>
      </c>
      <c r="L18" s="227">
        <f t="shared" si="4"/>
        <v>262.5</v>
      </c>
      <c r="M18" s="324">
        <f t="shared" si="5"/>
        <v>4.9111000000000002</v>
      </c>
      <c r="N18" s="227">
        <f t="shared" si="6"/>
        <v>-209.05</v>
      </c>
      <c r="O18" s="224"/>
      <c r="P18" s="226"/>
      <c r="Q18" s="230"/>
      <c r="R18" s="230"/>
      <c r="S18" s="226"/>
      <c r="T18" s="144"/>
      <c r="U18" s="216"/>
      <c r="V18" s="216"/>
      <c r="W18" s="216"/>
      <c r="X18" s="216"/>
      <c r="Y18" s="216"/>
      <c r="Z18" s="216"/>
      <c r="AA18" s="216"/>
      <c r="AB18" s="216"/>
      <c r="AC18" s="216"/>
      <c r="AD18" s="216"/>
      <c r="AE18" s="216"/>
      <c r="AF18" s="216"/>
      <c r="AG18" s="216"/>
      <c r="AH18" s="216"/>
    </row>
    <row r="19" spans="1:34" ht="13.9" customHeight="1" x14ac:dyDescent="0.2">
      <c r="A19" s="296" t="e">
        <f>PLAN!#REF!</f>
        <v>#REF!</v>
      </c>
      <c r="B19" s="299" t="e">
        <f>PLAN!#REF!</f>
        <v>#REF!</v>
      </c>
      <c r="C19" s="296" t="e">
        <f>PLAN!#REF!</f>
        <v>#REF!</v>
      </c>
      <c r="D19" s="121" t="e">
        <f>PLAN!#REF!</f>
        <v>#REF!</v>
      </c>
      <c r="E19" s="227" t="e">
        <f>PLAN!#REF!</f>
        <v>#REF!</v>
      </c>
      <c r="F19" s="227" t="e">
        <f t="shared" si="0"/>
        <v>#REF!</v>
      </c>
      <c r="G19" s="227"/>
      <c r="H19" s="227">
        <v>450</v>
      </c>
      <c r="I19" s="227">
        <f t="shared" si="1"/>
        <v>450</v>
      </c>
      <c r="J19" s="227" t="e">
        <f t="shared" si="2"/>
        <v>#REF!</v>
      </c>
      <c r="K19" s="300" t="e">
        <f t="shared" si="3"/>
        <v>#REF!</v>
      </c>
      <c r="L19" s="227" t="e">
        <f t="shared" si="4"/>
        <v>#REF!</v>
      </c>
      <c r="M19" s="324" t="e">
        <f t="shared" si="5"/>
        <v>#REF!</v>
      </c>
      <c r="N19" s="227" t="e">
        <f t="shared" si="6"/>
        <v>#REF!</v>
      </c>
      <c r="O19" s="216"/>
      <c r="P19" s="226"/>
      <c r="Q19" s="230"/>
      <c r="R19" s="230"/>
      <c r="S19" s="231"/>
      <c r="T19" s="144"/>
      <c r="U19" s="216"/>
      <c r="V19" s="216"/>
      <c r="W19" s="216"/>
      <c r="X19" s="216"/>
      <c r="Y19" s="216"/>
      <c r="Z19" s="216"/>
      <c r="AA19" s="216"/>
      <c r="AB19" s="216"/>
      <c r="AC19" s="216"/>
      <c r="AD19" s="216"/>
      <c r="AE19" s="216"/>
      <c r="AF19" s="216"/>
      <c r="AG19" s="216"/>
      <c r="AH19" s="216"/>
    </row>
    <row r="20" spans="1:34" ht="13.9" customHeight="1" x14ac:dyDescent="0.2">
      <c r="A20" s="296" t="str">
        <f>PLAN!A21</f>
        <v>3.2</v>
      </c>
      <c r="B20" s="299" t="str">
        <f>PLAN!C21</f>
        <v>EXECUÇÃO DE CANTEIROS</v>
      </c>
      <c r="C20" s="296">
        <f>PLAN!D21</f>
        <v>0</v>
      </c>
      <c r="D20" s="121"/>
      <c r="E20" s="227"/>
      <c r="F20" s="227"/>
      <c r="G20" s="227"/>
      <c r="H20" s="227"/>
      <c r="I20" s="227"/>
      <c r="J20" s="227"/>
      <c r="K20" s="300"/>
      <c r="L20" s="227"/>
      <c r="M20" s="324"/>
      <c r="N20" s="227"/>
      <c r="O20" s="216"/>
      <c r="P20" s="226"/>
      <c r="Q20" s="230"/>
      <c r="R20" s="230"/>
      <c r="S20" s="231"/>
      <c r="T20" s="144"/>
      <c r="U20" s="216"/>
      <c r="V20" s="216"/>
      <c r="W20" s="216"/>
      <c r="X20" s="216"/>
      <c r="Y20" s="216"/>
      <c r="Z20" s="216"/>
      <c r="AA20" s="216"/>
      <c r="AB20" s="216"/>
      <c r="AC20" s="216"/>
      <c r="AD20" s="216"/>
      <c r="AE20" s="216"/>
      <c r="AF20" s="216"/>
      <c r="AG20" s="216"/>
      <c r="AH20" s="216"/>
    </row>
    <row r="21" spans="1:34" ht="13.9" customHeight="1" x14ac:dyDescent="0.2">
      <c r="A21" s="296" t="str">
        <f>PLAN!A22</f>
        <v>3.2.1</v>
      </c>
      <c r="B21" s="299" t="str">
        <f>PLAN!C22</f>
        <v>ESCAVAÇÃO MANUAL DE VALA COM PROFUNDIDADE MENOR OU IGUAL A 1,5M, INCLUSIVE DESCARGA LATERAL</v>
      </c>
      <c r="C21" s="296" t="str">
        <f>PLAN!D22</f>
        <v>M3</v>
      </c>
      <c r="D21" s="121">
        <f>PLAN!E22</f>
        <v>1.77</v>
      </c>
      <c r="E21" s="227">
        <f>PLAN!G22</f>
        <v>101.76</v>
      </c>
      <c r="F21" s="227">
        <f t="shared" si="0"/>
        <v>180.12</v>
      </c>
      <c r="G21" s="227"/>
      <c r="H21" s="227">
        <v>80</v>
      </c>
      <c r="I21" s="227">
        <f t="shared" si="1"/>
        <v>80</v>
      </c>
      <c r="J21" s="227">
        <f t="shared" si="2"/>
        <v>-78.23</v>
      </c>
      <c r="K21" s="300">
        <f t="shared" si="3"/>
        <v>8140.8</v>
      </c>
      <c r="L21" s="227">
        <f t="shared" si="4"/>
        <v>8140.8</v>
      </c>
      <c r="M21" s="324">
        <f t="shared" si="5"/>
        <v>45.1965</v>
      </c>
      <c r="N21" s="227">
        <f t="shared" si="6"/>
        <v>-7960.68</v>
      </c>
      <c r="O21" s="216"/>
      <c r="P21" s="226"/>
      <c r="Q21" s="230"/>
      <c r="R21" s="230"/>
      <c r="S21" s="231"/>
      <c r="T21" s="144"/>
      <c r="U21" s="216"/>
      <c r="V21" s="216"/>
      <c r="W21" s="216"/>
      <c r="X21" s="216"/>
      <c r="Y21" s="216"/>
      <c r="Z21" s="216"/>
      <c r="AA21" s="216"/>
      <c r="AB21" s="216"/>
      <c r="AC21" s="216"/>
      <c r="AD21" s="216"/>
      <c r="AE21" s="216"/>
      <c r="AF21" s="216"/>
      <c r="AG21" s="216"/>
      <c r="AH21" s="216"/>
    </row>
    <row r="22" spans="1:34" ht="13.9" customHeight="1" x14ac:dyDescent="0.2">
      <c r="A22" s="296" t="str">
        <f>PLAN!A23</f>
        <v>3.2.2</v>
      </c>
      <c r="B22" s="299" t="str">
        <f>PLAN!C23</f>
        <v>CINTA EM CONCRETO ARMADO</v>
      </c>
      <c r="C22" s="296">
        <f>PLAN!D23</f>
        <v>0</v>
      </c>
      <c r="D22" s="121">
        <f>PLAN!E23</f>
        <v>0</v>
      </c>
      <c r="E22" s="227">
        <f>PLAN!G23</f>
        <v>0</v>
      </c>
      <c r="F22" s="227">
        <f t="shared" si="0"/>
        <v>0</v>
      </c>
      <c r="G22" s="227"/>
      <c r="H22" s="227">
        <v>240</v>
      </c>
      <c r="I22" s="227">
        <f t="shared" si="1"/>
        <v>240</v>
      </c>
      <c r="J22" s="227">
        <f t="shared" si="2"/>
        <v>-240</v>
      </c>
      <c r="K22" s="300">
        <f t="shared" si="3"/>
        <v>0</v>
      </c>
      <c r="L22" s="227">
        <f t="shared" si="4"/>
        <v>0</v>
      </c>
      <c r="M22" s="324" t="e">
        <f t="shared" si="5"/>
        <v>#DIV/0!</v>
      </c>
      <c r="N22" s="227">
        <f t="shared" si="6"/>
        <v>0</v>
      </c>
      <c r="O22" s="216"/>
      <c r="P22" s="226"/>
      <c r="Q22" s="230"/>
      <c r="R22" s="230"/>
      <c r="S22" s="231"/>
      <c r="T22" s="144"/>
      <c r="U22" s="216"/>
      <c r="V22" s="216"/>
      <c r="W22" s="216"/>
      <c r="X22" s="216"/>
      <c r="Y22" s="216"/>
      <c r="Z22" s="216"/>
      <c r="AA22" s="216"/>
      <c r="AB22" s="216"/>
      <c r="AC22" s="216"/>
      <c r="AD22" s="216"/>
      <c r="AE22" s="216"/>
      <c r="AF22" s="216"/>
      <c r="AG22" s="216"/>
      <c r="AH22" s="216"/>
    </row>
    <row r="23" spans="1:34" ht="13.9" customHeight="1" x14ac:dyDescent="0.2">
      <c r="A23" s="296" t="str">
        <f>PLAN!A27</f>
        <v>3.2.2.4</v>
      </c>
      <c r="B23" s="299" t="str">
        <f>PLAN!C27</f>
        <v>GUIA DE CORDÃO BOLEADO, EM CONCRETO COM FCK 20MPA, PRÉ MOLDADA, 10X10CM (ALTURA X LARGURA), INCLUSIVE UMA (1) FIADA DE BLOCO DE CONCRETO, ESP. 9CM, ESCAVAÇÃO, APILOAMENTO E TRANSPORTE COM RETIRADA DO MATERIAL ESCAVADO (EM CAÇAMBA)</v>
      </c>
      <c r="C23" s="296" t="str">
        <f>PLAN!D27</f>
        <v>M</v>
      </c>
      <c r="D23" s="121">
        <f>PLAN!E27</f>
        <v>59</v>
      </c>
      <c r="E23" s="227">
        <f>PLAN!G27</f>
        <v>78.510000000000005</v>
      </c>
      <c r="F23" s="227">
        <f t="shared" si="0"/>
        <v>4632.09</v>
      </c>
      <c r="G23" s="227"/>
      <c r="H23" s="227">
        <v>11250</v>
      </c>
      <c r="I23" s="227">
        <f t="shared" si="1"/>
        <v>11250</v>
      </c>
      <c r="J23" s="227">
        <f t="shared" si="2"/>
        <v>-11191</v>
      </c>
      <c r="K23" s="300">
        <f t="shared" si="3"/>
        <v>883237.5</v>
      </c>
      <c r="L23" s="227">
        <f t="shared" si="4"/>
        <v>883237.5</v>
      </c>
      <c r="M23" s="324">
        <f t="shared" si="5"/>
        <v>190.678</v>
      </c>
      <c r="N23" s="227">
        <f t="shared" si="6"/>
        <v>-878605.41</v>
      </c>
      <c r="O23" s="216"/>
      <c r="P23" s="226"/>
      <c r="Q23" s="230"/>
      <c r="R23" s="230"/>
      <c r="S23" s="231"/>
      <c r="T23" s="144"/>
      <c r="U23" s="216"/>
      <c r="V23" s="216"/>
      <c r="W23" s="216"/>
      <c r="X23" s="216"/>
      <c r="Y23" s="216"/>
      <c r="Z23" s="216"/>
      <c r="AA23" s="216"/>
      <c r="AB23" s="216"/>
      <c r="AC23" s="216"/>
      <c r="AD23" s="216"/>
      <c r="AE23" s="216"/>
      <c r="AF23" s="216"/>
      <c r="AG23" s="216"/>
      <c r="AH23" s="216"/>
    </row>
    <row r="24" spans="1:34" ht="13.9" customHeight="1" x14ac:dyDescent="0.2">
      <c r="A24" s="296" t="str">
        <f>PLAN!A29</f>
        <v>3.3.1</v>
      </c>
      <c r="B24" s="299" t="str">
        <f>PLAN!C29</f>
        <v>PLANTIO DE GRAMA ESMERALDA EM PLACAS, INCLUSIVE TERRA VEGETAL E CONSERVAÇÃO POR TRINTA (30) DIAS</v>
      </c>
      <c r="C24" s="296" t="str">
        <f>PLAN!D29</f>
        <v>M2</v>
      </c>
      <c r="D24" s="121">
        <f>PLAN!E29</f>
        <v>74.34</v>
      </c>
      <c r="E24" s="227">
        <f>PLAN!G29</f>
        <v>48.6</v>
      </c>
      <c r="F24" s="227">
        <f t="shared" si="0"/>
        <v>3612.92</v>
      </c>
      <c r="G24" s="227"/>
      <c r="H24" s="227">
        <v>562.5</v>
      </c>
      <c r="I24" s="227">
        <f t="shared" si="1"/>
        <v>562.5</v>
      </c>
      <c r="J24" s="227">
        <f t="shared" si="2"/>
        <v>-488.15999999999997</v>
      </c>
      <c r="K24" s="300">
        <f t="shared" si="3"/>
        <v>27337.5</v>
      </c>
      <c r="L24" s="227">
        <f t="shared" si="4"/>
        <v>27337.5</v>
      </c>
      <c r="M24" s="324">
        <f t="shared" si="5"/>
        <v>7.5666000000000002</v>
      </c>
      <c r="N24" s="227">
        <f t="shared" si="6"/>
        <v>-23724.58</v>
      </c>
      <c r="O24" s="216"/>
      <c r="P24" s="226"/>
      <c r="Q24" s="230"/>
      <c r="R24" s="230"/>
      <c r="S24" s="231"/>
      <c r="T24" s="144"/>
      <c r="U24" s="216"/>
      <c r="V24" s="216"/>
      <c r="W24" s="216"/>
      <c r="X24" s="216"/>
      <c r="Y24" s="216"/>
      <c r="Z24" s="216"/>
      <c r="AA24" s="216"/>
      <c r="AB24" s="216"/>
      <c r="AC24" s="216"/>
      <c r="AD24" s="216"/>
      <c r="AE24" s="216"/>
      <c r="AF24" s="216"/>
      <c r="AG24" s="216"/>
      <c r="AH24" s="216"/>
    </row>
    <row r="25" spans="1:34" ht="13.9" customHeight="1" x14ac:dyDescent="0.2">
      <c r="A25" s="296" t="str">
        <f>PLAN!A30</f>
        <v>3.3.2</v>
      </c>
      <c r="B25" s="299" t="str">
        <f>PLAN!C30</f>
        <v>FORNECIMENTO DE ARBUSTO BELA EMÍLIA COM ALTURA MÍNIMA DE 15CM, EXCLUSIVE PLANTIO</v>
      </c>
      <c r="C25" s="296" t="str">
        <f>PLAN!D30</f>
        <v>UNID</v>
      </c>
      <c r="D25" s="121">
        <f>PLAN!E30</f>
        <v>10</v>
      </c>
      <c r="E25" s="227">
        <f>PLAN!G30</f>
        <v>8.5399999999999991</v>
      </c>
      <c r="F25" s="227">
        <f t="shared" si="0"/>
        <v>85.4</v>
      </c>
      <c r="G25" s="227"/>
      <c r="H25" s="227">
        <v>225</v>
      </c>
      <c r="I25" s="227">
        <f t="shared" si="1"/>
        <v>225</v>
      </c>
      <c r="J25" s="227">
        <f t="shared" si="2"/>
        <v>-215</v>
      </c>
      <c r="K25" s="300">
        <f t="shared" si="3"/>
        <v>1921.5</v>
      </c>
      <c r="L25" s="227">
        <f t="shared" si="4"/>
        <v>1921.5</v>
      </c>
      <c r="M25" s="324">
        <f t="shared" si="5"/>
        <v>22.5</v>
      </c>
      <c r="N25" s="227">
        <f t="shared" si="6"/>
        <v>-1836.1</v>
      </c>
      <c r="O25" s="216"/>
      <c r="P25" s="226"/>
      <c r="Q25" s="230"/>
      <c r="R25" s="230"/>
      <c r="S25" s="231"/>
      <c r="T25" s="144"/>
      <c r="U25" s="216"/>
      <c r="V25" s="216"/>
      <c r="W25" s="216"/>
      <c r="X25" s="216"/>
      <c r="Y25" s="216"/>
      <c r="Z25" s="216"/>
      <c r="AA25" s="216"/>
      <c r="AB25" s="216"/>
      <c r="AC25" s="216"/>
      <c r="AD25" s="216"/>
      <c r="AE25" s="216"/>
      <c r="AF25" s="216"/>
      <c r="AG25" s="216"/>
      <c r="AH25" s="216"/>
    </row>
    <row r="26" spans="1:34" ht="13.9" customHeight="1" x14ac:dyDescent="0.2">
      <c r="A26" s="296" t="e">
        <f>PLAN!#REF!</f>
        <v>#REF!</v>
      </c>
      <c r="B26" s="299" t="e">
        <f>PLAN!#REF!</f>
        <v>#REF!</v>
      </c>
      <c r="C26" s="296" t="e">
        <f>PLAN!#REF!</f>
        <v>#REF!</v>
      </c>
      <c r="D26" s="121" t="e">
        <f>PLAN!#REF!</f>
        <v>#REF!</v>
      </c>
      <c r="E26" s="227" t="e">
        <f>PLAN!#REF!</f>
        <v>#REF!</v>
      </c>
      <c r="F26" s="227" t="e">
        <f t="shared" si="0"/>
        <v>#REF!</v>
      </c>
      <c r="G26" s="227"/>
      <c r="H26" s="227">
        <v>16875</v>
      </c>
      <c r="I26" s="227">
        <f t="shared" si="1"/>
        <v>16875</v>
      </c>
      <c r="J26" s="227" t="e">
        <f t="shared" si="2"/>
        <v>#REF!</v>
      </c>
      <c r="K26" s="300" t="e">
        <f t="shared" si="3"/>
        <v>#REF!</v>
      </c>
      <c r="L26" s="227" t="e">
        <f t="shared" si="4"/>
        <v>#REF!</v>
      </c>
      <c r="M26" s="324" t="e">
        <f t="shared" si="5"/>
        <v>#REF!</v>
      </c>
      <c r="N26" s="227" t="e">
        <f t="shared" si="6"/>
        <v>#REF!</v>
      </c>
      <c r="O26" s="216"/>
      <c r="P26" s="226"/>
      <c r="Q26" s="230"/>
      <c r="R26" s="230"/>
      <c r="S26" s="231"/>
      <c r="T26" s="144"/>
      <c r="U26" s="216"/>
      <c r="V26" s="216"/>
      <c r="W26" s="216"/>
      <c r="X26" s="216"/>
      <c r="Y26" s="216"/>
      <c r="Z26" s="216"/>
      <c r="AA26" s="216"/>
      <c r="AB26" s="216"/>
      <c r="AC26" s="216"/>
      <c r="AD26" s="216"/>
      <c r="AE26" s="216"/>
      <c r="AF26" s="216"/>
      <c r="AG26" s="216"/>
      <c r="AH26" s="216"/>
    </row>
    <row r="27" spans="1:34" ht="13.9" customHeight="1" x14ac:dyDescent="0.2">
      <c r="A27" s="296" t="e">
        <f>PLAN!#REF!</f>
        <v>#REF!</v>
      </c>
      <c r="B27" s="299" t="e">
        <f>PLAN!#REF!</f>
        <v>#REF!</v>
      </c>
      <c r="C27" s="296" t="e">
        <f>PLAN!#REF!</f>
        <v>#REF!</v>
      </c>
      <c r="D27" s="121"/>
      <c r="E27" s="227"/>
      <c r="F27" s="227"/>
      <c r="G27" s="227"/>
      <c r="H27" s="227"/>
      <c r="I27" s="227"/>
      <c r="J27" s="227"/>
      <c r="K27" s="300"/>
      <c r="L27" s="227"/>
      <c r="M27" s="324"/>
      <c r="N27" s="227"/>
      <c r="O27" s="216"/>
      <c r="P27" s="226"/>
      <c r="Q27" s="230"/>
      <c r="R27" s="230"/>
      <c r="S27" s="231"/>
      <c r="T27" s="144"/>
      <c r="U27" s="216"/>
      <c r="V27" s="216"/>
      <c r="W27" s="216"/>
      <c r="X27" s="216"/>
      <c r="Y27" s="216"/>
      <c r="Z27" s="216"/>
      <c r="AA27" s="216"/>
      <c r="AB27" s="216"/>
      <c r="AC27" s="216"/>
      <c r="AD27" s="216"/>
      <c r="AE27" s="216"/>
      <c r="AF27" s="216"/>
      <c r="AG27" s="216"/>
      <c r="AH27" s="216"/>
    </row>
    <row r="28" spans="1:34" ht="13.9" customHeight="1" x14ac:dyDescent="0.2">
      <c r="A28" s="296" t="e">
        <f>PLAN!#REF!</f>
        <v>#REF!</v>
      </c>
      <c r="B28" s="299" t="e">
        <f>PLAN!#REF!</f>
        <v>#REF!</v>
      </c>
      <c r="C28" s="296" t="e">
        <f>PLAN!#REF!</f>
        <v>#REF!</v>
      </c>
      <c r="D28" s="121" t="e">
        <f>PLAN!#REF!</f>
        <v>#REF!</v>
      </c>
      <c r="E28" s="227" t="e">
        <f>PLAN!#REF!</f>
        <v>#REF!</v>
      </c>
      <c r="F28" s="227" t="e">
        <f t="shared" si="0"/>
        <v>#REF!</v>
      </c>
      <c r="G28" s="227"/>
      <c r="H28" s="227">
        <v>200</v>
      </c>
      <c r="I28" s="227">
        <f t="shared" si="1"/>
        <v>200</v>
      </c>
      <c r="J28" s="227" t="e">
        <f t="shared" si="2"/>
        <v>#REF!</v>
      </c>
      <c r="K28" s="300" t="e">
        <f t="shared" si="3"/>
        <v>#REF!</v>
      </c>
      <c r="L28" s="227" t="e">
        <f t="shared" si="4"/>
        <v>#REF!</v>
      </c>
      <c r="M28" s="324" t="e">
        <f t="shared" si="5"/>
        <v>#REF!</v>
      </c>
      <c r="N28" s="227" t="e">
        <f t="shared" si="6"/>
        <v>#REF!</v>
      </c>
      <c r="O28" s="216"/>
      <c r="P28" s="226"/>
      <c r="Q28" s="230"/>
      <c r="R28" s="230"/>
      <c r="S28" s="231"/>
      <c r="T28" s="144"/>
      <c r="U28" s="216"/>
      <c r="V28" s="216"/>
      <c r="W28" s="216"/>
      <c r="X28" s="216"/>
      <c r="Y28" s="216"/>
      <c r="Z28" s="216"/>
      <c r="AA28" s="216"/>
      <c r="AB28" s="216"/>
      <c r="AC28" s="216"/>
      <c r="AD28" s="216"/>
      <c r="AE28" s="216"/>
      <c r="AF28" s="216"/>
      <c r="AG28" s="216"/>
      <c r="AH28" s="216"/>
    </row>
    <row r="29" spans="1:34" ht="13.9" customHeight="1" x14ac:dyDescent="0.2">
      <c r="A29" s="296" t="e">
        <f>PLAN!#REF!</f>
        <v>#REF!</v>
      </c>
      <c r="B29" s="299" t="e">
        <f>PLAN!#REF!</f>
        <v>#REF!</v>
      </c>
      <c r="C29" s="296" t="e">
        <f>PLAN!#REF!</f>
        <v>#REF!</v>
      </c>
      <c r="D29" s="121" t="e">
        <f>PLAN!#REF!</f>
        <v>#REF!</v>
      </c>
      <c r="E29" s="227" t="e">
        <f>PLAN!#REF!</f>
        <v>#REF!</v>
      </c>
      <c r="F29" s="227" t="e">
        <f t="shared" si="0"/>
        <v>#REF!</v>
      </c>
      <c r="G29" s="227"/>
      <c r="H29" s="227">
        <v>200</v>
      </c>
      <c r="I29" s="227">
        <f t="shared" si="1"/>
        <v>200</v>
      </c>
      <c r="J29" s="227" t="e">
        <f t="shared" si="2"/>
        <v>#REF!</v>
      </c>
      <c r="K29" s="300" t="e">
        <f t="shared" si="3"/>
        <v>#REF!</v>
      </c>
      <c r="L29" s="227" t="e">
        <f t="shared" si="4"/>
        <v>#REF!</v>
      </c>
      <c r="M29" s="324" t="e">
        <f t="shared" si="5"/>
        <v>#REF!</v>
      </c>
      <c r="N29" s="227" t="e">
        <f t="shared" si="6"/>
        <v>#REF!</v>
      </c>
      <c r="O29" s="216"/>
      <c r="P29" s="226"/>
      <c r="Q29" s="230"/>
      <c r="R29" s="230"/>
      <c r="S29" s="231"/>
      <c r="T29" s="144"/>
      <c r="U29" s="216"/>
      <c r="V29" s="216"/>
      <c r="W29" s="216"/>
      <c r="X29" s="216"/>
      <c r="Y29" s="216"/>
      <c r="Z29" s="216"/>
      <c r="AA29" s="216"/>
      <c r="AB29" s="216"/>
      <c r="AC29" s="216"/>
      <c r="AD29" s="216"/>
      <c r="AE29" s="216"/>
      <c r="AF29" s="216"/>
      <c r="AG29" s="216"/>
      <c r="AH29" s="216"/>
    </row>
    <row r="30" spans="1:34" ht="13.9" customHeight="1" x14ac:dyDescent="0.2">
      <c r="A30" s="296" t="str">
        <f>PLAN!A70</f>
        <v>4.4</v>
      </c>
      <c r="B30" s="299" t="str">
        <f>PLAN!C70</f>
        <v>DRENAGEM PLUVIAL</v>
      </c>
      <c r="C30" s="296">
        <f>PLAN!D70</f>
        <v>0</v>
      </c>
      <c r="D30" s="121"/>
      <c r="E30" s="227"/>
      <c r="F30" s="227"/>
      <c r="G30" s="227"/>
      <c r="H30" s="227"/>
      <c r="I30" s="227"/>
      <c r="J30" s="227"/>
      <c r="K30" s="300"/>
      <c r="L30" s="227"/>
      <c r="M30" s="324"/>
      <c r="N30" s="227"/>
      <c r="O30" s="216"/>
      <c r="P30" s="226"/>
      <c r="Q30" s="230"/>
      <c r="R30" s="230"/>
      <c r="S30" s="231"/>
      <c r="T30" s="144"/>
      <c r="U30" s="216"/>
      <c r="V30" s="216"/>
      <c r="W30" s="216"/>
      <c r="X30" s="216"/>
      <c r="Y30" s="216"/>
      <c r="Z30" s="216"/>
      <c r="AA30" s="216"/>
      <c r="AB30" s="216"/>
      <c r="AC30" s="216"/>
      <c r="AD30" s="216"/>
      <c r="AE30" s="216"/>
      <c r="AF30" s="216"/>
      <c r="AG30" s="216"/>
      <c r="AH30" s="216"/>
    </row>
    <row r="31" spans="1:34" ht="13.9" customHeight="1" x14ac:dyDescent="0.2">
      <c r="A31" s="296" t="str">
        <f>PLAN!A74</f>
        <v>4.4.4</v>
      </c>
      <c r="B31" s="299" t="str">
        <f>PLAN!C74</f>
        <v>ESCAVAÇÃO MECÂNICA DE VALAS COM PROFUNDIDADE MENOR OU IGUAL A 1,5M, INCLUSIVE CARGA EM CAMINHÃO, EXCLUSIVE TRANSPORTE E DESCARGA</v>
      </c>
      <c r="C31" s="296" t="str">
        <f>PLAN!D74</f>
        <v>M3</v>
      </c>
      <c r="D31" s="121">
        <f>PLAN!E74</f>
        <v>203.72</v>
      </c>
      <c r="E31" s="227">
        <f>PLAN!G74</f>
        <v>14.52</v>
      </c>
      <c r="F31" s="227">
        <f t="shared" si="0"/>
        <v>2958.01</v>
      </c>
      <c r="G31" s="227"/>
      <c r="H31" s="227">
        <v>8</v>
      </c>
      <c r="I31" s="227">
        <f t="shared" si="1"/>
        <v>8</v>
      </c>
      <c r="J31" s="227">
        <f t="shared" si="2"/>
        <v>195.72</v>
      </c>
      <c r="K31" s="300">
        <f t="shared" si="3"/>
        <v>116.16</v>
      </c>
      <c r="L31" s="227">
        <f t="shared" si="4"/>
        <v>116.16</v>
      </c>
      <c r="M31" s="324">
        <f t="shared" si="5"/>
        <v>3.9300000000000002E-2</v>
      </c>
      <c r="N31" s="227">
        <f t="shared" si="6"/>
        <v>2841.8500000000004</v>
      </c>
      <c r="O31" s="216"/>
      <c r="P31" s="226"/>
      <c r="Q31" s="230"/>
      <c r="R31" s="230"/>
      <c r="S31" s="231"/>
      <c r="T31" s="144"/>
      <c r="U31" s="216"/>
      <c r="V31" s="216"/>
      <c r="W31" s="216"/>
      <c r="X31" s="216"/>
      <c r="Y31" s="216"/>
      <c r="Z31" s="216"/>
      <c r="AA31" s="216"/>
      <c r="AB31" s="216"/>
      <c r="AC31" s="216"/>
      <c r="AD31" s="216"/>
      <c r="AE31" s="216"/>
      <c r="AF31" s="216"/>
      <c r="AG31" s="216"/>
      <c r="AH31" s="216"/>
    </row>
    <row r="32" spans="1:34" ht="13.9" customHeight="1" x14ac:dyDescent="0.2">
      <c r="A32" s="296" t="e">
        <f>PLAN!#REF!</f>
        <v>#REF!</v>
      </c>
      <c r="B32" s="299" t="e">
        <f>PLAN!#REF!</f>
        <v>#REF!</v>
      </c>
      <c r="C32" s="296" t="e">
        <f>PLAN!#REF!</f>
        <v>#REF!</v>
      </c>
      <c r="D32" s="121" t="e">
        <f>PLAN!#REF!</f>
        <v>#REF!</v>
      </c>
      <c r="E32" s="227" t="e">
        <f>PLAN!#REF!</f>
        <v>#REF!</v>
      </c>
      <c r="F32" s="227" t="e">
        <f t="shared" si="0"/>
        <v>#REF!</v>
      </c>
      <c r="G32" s="227"/>
      <c r="H32" s="227">
        <v>16</v>
      </c>
      <c r="I32" s="227">
        <f t="shared" si="1"/>
        <v>16</v>
      </c>
      <c r="J32" s="227" t="e">
        <f t="shared" si="2"/>
        <v>#REF!</v>
      </c>
      <c r="K32" s="300" t="e">
        <f t="shared" si="3"/>
        <v>#REF!</v>
      </c>
      <c r="L32" s="227" t="e">
        <f t="shared" si="4"/>
        <v>#REF!</v>
      </c>
      <c r="M32" s="324" t="e">
        <f t="shared" si="5"/>
        <v>#REF!</v>
      </c>
      <c r="N32" s="227" t="e">
        <f t="shared" si="6"/>
        <v>#REF!</v>
      </c>
      <c r="O32" s="216"/>
      <c r="P32" s="226"/>
      <c r="Q32" s="230"/>
      <c r="R32" s="230"/>
      <c r="S32" s="231"/>
      <c r="T32" s="144"/>
      <c r="U32" s="216"/>
      <c r="V32" s="216"/>
      <c r="W32" s="216"/>
      <c r="X32" s="216"/>
      <c r="Y32" s="216"/>
      <c r="Z32" s="216"/>
      <c r="AA32" s="216"/>
      <c r="AB32" s="216"/>
      <c r="AC32" s="216"/>
      <c r="AD32" s="216"/>
      <c r="AE32" s="216"/>
      <c r="AF32" s="216"/>
      <c r="AG32" s="216"/>
      <c r="AH32" s="216"/>
    </row>
    <row r="33" spans="1:34" ht="13.9" customHeight="1" x14ac:dyDescent="0.2">
      <c r="A33" s="296" t="str">
        <f>PLAN!A76</f>
        <v>4.4.6</v>
      </c>
      <c r="B33" s="299" t="str">
        <f>PLAN!C76</f>
        <v>APILOAMENTO DO FUNDO DE VALAS COM PLACA VIBRATÓRIA</v>
      </c>
      <c r="C33" s="296" t="str">
        <f>PLAN!D76</f>
        <v>M2</v>
      </c>
      <c r="D33" s="121">
        <f>PLAN!E76</f>
        <v>142.82</v>
      </c>
      <c r="E33" s="227">
        <f>PLAN!G76</f>
        <v>19.3</v>
      </c>
      <c r="F33" s="227">
        <f t="shared" si="0"/>
        <v>2756.43</v>
      </c>
      <c r="G33" s="227"/>
      <c r="H33" s="227">
        <v>41.6</v>
      </c>
      <c r="I33" s="227">
        <f t="shared" si="1"/>
        <v>41.6</v>
      </c>
      <c r="J33" s="227">
        <f t="shared" si="2"/>
        <v>101.22</v>
      </c>
      <c r="K33" s="300">
        <f t="shared" si="3"/>
        <v>802.88</v>
      </c>
      <c r="L33" s="227">
        <f t="shared" si="4"/>
        <v>802.88</v>
      </c>
      <c r="M33" s="324">
        <f t="shared" si="5"/>
        <v>0.2913</v>
      </c>
      <c r="N33" s="227">
        <f t="shared" si="6"/>
        <v>1953.5499999999997</v>
      </c>
      <c r="O33" s="216"/>
      <c r="P33" s="226"/>
      <c r="Q33" s="230"/>
      <c r="R33" s="230"/>
      <c r="S33" s="231"/>
      <c r="T33" s="144"/>
      <c r="U33" s="216"/>
      <c r="V33" s="216"/>
      <c r="W33" s="216"/>
      <c r="X33" s="216"/>
      <c r="Y33" s="216"/>
      <c r="Z33" s="216"/>
      <c r="AA33" s="216"/>
      <c r="AB33" s="216"/>
      <c r="AC33" s="216"/>
      <c r="AD33" s="216"/>
      <c r="AE33" s="216"/>
      <c r="AF33" s="216"/>
      <c r="AG33" s="216"/>
      <c r="AH33" s="216"/>
    </row>
    <row r="34" spans="1:34" ht="13.9" customHeight="1" x14ac:dyDescent="0.2">
      <c r="A34" s="296" t="str">
        <f>PLAN!A80</f>
        <v>4.4.10</v>
      </c>
      <c r="B34" s="299" t="str">
        <f>PLAN!C80</f>
        <v>TUBO DE CONCRETO ARMADO, CLASSE PA1, DIÂMETRO DE 800MM, INCLUSIVE CARGA E DESCARGA MECÂNICA EM CAMINHÃO, ASSENTAMENTO E REJUNTAMENTO, EXCLUSIVE ESCAVAÇÃO E TRANSPORTE</v>
      </c>
      <c r="C34" s="296" t="str">
        <f>PLAN!D80</f>
        <v>M</v>
      </c>
      <c r="D34" s="121">
        <f>PLAN!E80</f>
        <v>77</v>
      </c>
      <c r="E34" s="227">
        <f>PLAN!G80</f>
        <v>523.26</v>
      </c>
      <c r="F34" s="227">
        <f t="shared" si="0"/>
        <v>40291.019999999997</v>
      </c>
      <c r="G34" s="227"/>
      <c r="H34" s="227">
        <v>32</v>
      </c>
      <c r="I34" s="227">
        <f t="shared" si="1"/>
        <v>32</v>
      </c>
      <c r="J34" s="227">
        <f t="shared" si="2"/>
        <v>45</v>
      </c>
      <c r="K34" s="300">
        <f t="shared" si="3"/>
        <v>16744.32</v>
      </c>
      <c r="L34" s="227">
        <f t="shared" si="4"/>
        <v>16744.32</v>
      </c>
      <c r="M34" s="324">
        <f t="shared" si="5"/>
        <v>0.41560000000000002</v>
      </c>
      <c r="N34" s="227">
        <f t="shared" si="6"/>
        <v>23546.699999999997</v>
      </c>
      <c r="O34" s="216"/>
      <c r="P34" s="226"/>
      <c r="Q34" s="230"/>
      <c r="R34" s="230"/>
      <c r="S34" s="231"/>
      <c r="T34" s="144"/>
      <c r="U34" s="216"/>
      <c r="V34" s="216"/>
      <c r="W34" s="216"/>
      <c r="X34" s="216"/>
      <c r="Y34" s="216"/>
      <c r="Z34" s="216"/>
      <c r="AA34" s="216"/>
      <c r="AB34" s="216"/>
      <c r="AC34" s="216"/>
      <c r="AD34" s="216"/>
      <c r="AE34" s="216"/>
      <c r="AF34" s="216"/>
      <c r="AG34" s="216"/>
      <c r="AH34" s="216"/>
    </row>
    <row r="35" spans="1:34" ht="13.9" customHeight="1" x14ac:dyDescent="0.2">
      <c r="A35" s="296" t="str">
        <f>PLAN!A81</f>
        <v>4.4.11</v>
      </c>
      <c r="B35" s="299" t="str">
        <f>PLAN!C81</f>
        <v>REATERRO COMPACTADO DE VALA COM EQUIPAMENTO PLACA VIBRATÓRIA</v>
      </c>
      <c r="C35" s="296" t="str">
        <f>PLAN!D81</f>
        <v>M3</v>
      </c>
      <c r="D35" s="121">
        <f>PLAN!E81</f>
        <v>148.76</v>
      </c>
      <c r="E35" s="227">
        <f>PLAN!G81</f>
        <v>63.96</v>
      </c>
      <c r="F35" s="227">
        <f t="shared" si="0"/>
        <v>9514.69</v>
      </c>
      <c r="G35" s="227"/>
      <c r="H35" s="227">
        <v>58.16</v>
      </c>
      <c r="I35" s="227">
        <f t="shared" si="1"/>
        <v>58.16</v>
      </c>
      <c r="J35" s="227">
        <f t="shared" si="2"/>
        <v>90.6</v>
      </c>
      <c r="K35" s="300">
        <f t="shared" si="3"/>
        <v>3719.91</v>
      </c>
      <c r="L35" s="227">
        <f t="shared" si="4"/>
        <v>3719.91</v>
      </c>
      <c r="M35" s="324">
        <f t="shared" si="5"/>
        <v>0.39100000000000001</v>
      </c>
      <c r="N35" s="227">
        <f t="shared" si="6"/>
        <v>5794.7800000000007</v>
      </c>
      <c r="O35" s="216"/>
      <c r="P35" s="226"/>
      <c r="Q35" s="230"/>
      <c r="R35" s="230"/>
      <c r="S35" s="231"/>
      <c r="T35" s="144"/>
      <c r="U35" s="216"/>
      <c r="V35" s="216"/>
      <c r="W35" s="216"/>
      <c r="X35" s="216"/>
      <c r="Y35" s="216"/>
      <c r="Z35" s="216"/>
      <c r="AA35" s="216"/>
      <c r="AB35" s="216"/>
      <c r="AC35" s="216"/>
      <c r="AD35" s="216"/>
      <c r="AE35" s="216"/>
      <c r="AF35" s="216"/>
      <c r="AG35" s="216"/>
      <c r="AH35" s="216"/>
    </row>
    <row r="36" spans="1:34" ht="13.9" customHeight="1" x14ac:dyDescent="0.2">
      <c r="A36" s="296" t="str">
        <f>PLAN!A83</f>
        <v>4.4.13</v>
      </c>
      <c r="B36" s="299" t="str">
        <f>PLAN!C83</f>
        <v>Boca de Lobo Simples combinada com grelha, quadro e cantoneira pré moldados de concreto   BLS 01 areia e brita comerciais (Execução, incluindo escavação, fornecimento, carga e transporte de todos os materiais)   (Caderno de Drenagem RT 01.47.d)</v>
      </c>
      <c r="C36" s="296" t="str">
        <f>PLAN!D83</f>
        <v>UNID</v>
      </c>
      <c r="D36" s="121">
        <f>PLAN!E83</f>
        <v>8</v>
      </c>
      <c r="E36" s="227">
        <f>PLAN!G83</f>
        <v>1655.66</v>
      </c>
      <c r="F36" s="227">
        <f t="shared" si="0"/>
        <v>13245.28</v>
      </c>
      <c r="G36" s="227"/>
      <c r="H36" s="227">
        <v>8</v>
      </c>
      <c r="I36" s="227">
        <f t="shared" si="1"/>
        <v>8</v>
      </c>
      <c r="J36" s="227">
        <f t="shared" si="2"/>
        <v>0</v>
      </c>
      <c r="K36" s="300">
        <f t="shared" si="3"/>
        <v>13245.28</v>
      </c>
      <c r="L36" s="227">
        <f t="shared" si="4"/>
        <v>13245.28</v>
      </c>
      <c r="M36" s="324">
        <f t="shared" si="5"/>
        <v>1</v>
      </c>
      <c r="N36" s="227">
        <f t="shared" si="6"/>
        <v>0</v>
      </c>
      <c r="O36" s="216"/>
      <c r="P36" s="226"/>
      <c r="Q36" s="230"/>
      <c r="R36" s="230"/>
      <c r="S36" s="231"/>
      <c r="T36" s="144"/>
      <c r="U36" s="216"/>
      <c r="V36" s="216"/>
      <c r="W36" s="216"/>
      <c r="X36" s="216"/>
      <c r="Y36" s="216"/>
      <c r="Z36" s="216"/>
      <c r="AA36" s="216"/>
      <c r="AB36" s="216"/>
      <c r="AC36" s="216"/>
      <c r="AD36" s="216"/>
      <c r="AE36" s="216"/>
      <c r="AF36" s="216"/>
      <c r="AG36" s="216"/>
      <c r="AH36" s="216"/>
    </row>
    <row r="37" spans="1:34" ht="13.9" customHeight="1" x14ac:dyDescent="0.2">
      <c r="A37" s="296" t="e">
        <f>PLAN!#REF!</f>
        <v>#REF!</v>
      </c>
      <c r="B37" s="299" t="e">
        <f>PLAN!#REF!</f>
        <v>#REF!</v>
      </c>
      <c r="C37" s="296" t="e">
        <f>PLAN!#REF!</f>
        <v>#REF!</v>
      </c>
      <c r="D37" s="121"/>
      <c r="E37" s="227"/>
      <c r="F37" s="227"/>
      <c r="G37" s="227"/>
      <c r="H37" s="227"/>
      <c r="I37" s="227"/>
      <c r="J37" s="227"/>
      <c r="K37" s="300"/>
      <c r="L37" s="227"/>
      <c r="M37" s="324"/>
      <c r="N37" s="227"/>
      <c r="O37" s="216"/>
      <c r="P37" s="226"/>
      <c r="Q37" s="230"/>
      <c r="R37" s="230"/>
      <c r="S37" s="231"/>
      <c r="T37" s="144"/>
      <c r="U37" s="216"/>
      <c r="V37" s="216"/>
      <c r="W37" s="216"/>
      <c r="X37" s="216"/>
      <c r="Y37" s="216"/>
      <c r="Z37" s="216"/>
      <c r="AA37" s="216"/>
      <c r="AB37" s="216"/>
      <c r="AC37" s="216"/>
      <c r="AD37" s="216"/>
      <c r="AE37" s="216"/>
      <c r="AF37" s="216"/>
      <c r="AG37" s="216"/>
      <c r="AH37" s="216"/>
    </row>
    <row r="38" spans="1:34" ht="13.9" customHeight="1" x14ac:dyDescent="0.2">
      <c r="A38" s="296" t="e">
        <f>PLAN!#REF!</f>
        <v>#REF!</v>
      </c>
      <c r="B38" s="299" t="e">
        <f>PLAN!#REF!</f>
        <v>#REF!</v>
      </c>
      <c r="C38" s="296" t="e">
        <f>PLAN!#REF!</f>
        <v>#REF!</v>
      </c>
      <c r="D38" s="121" t="e">
        <f>PLAN!#REF!</f>
        <v>#REF!</v>
      </c>
      <c r="E38" s="227" t="e">
        <f>PLAN!#REF!</f>
        <v>#REF!</v>
      </c>
      <c r="F38" s="227" t="e">
        <f t="shared" si="0"/>
        <v>#REF!</v>
      </c>
      <c r="G38" s="227"/>
      <c r="H38" s="227">
        <v>3.52</v>
      </c>
      <c r="I38" s="227">
        <f t="shared" si="1"/>
        <v>3.52</v>
      </c>
      <c r="J38" s="227" t="e">
        <f t="shared" si="2"/>
        <v>#REF!</v>
      </c>
      <c r="K38" s="300" t="e">
        <f t="shared" si="3"/>
        <v>#REF!</v>
      </c>
      <c r="L38" s="227" t="e">
        <f t="shared" si="4"/>
        <v>#REF!</v>
      </c>
      <c r="M38" s="324" t="e">
        <f t="shared" si="5"/>
        <v>#REF!</v>
      </c>
      <c r="N38" s="227" t="e">
        <f t="shared" si="6"/>
        <v>#REF!</v>
      </c>
      <c r="O38" s="216"/>
      <c r="P38" s="226"/>
      <c r="Q38" s="230"/>
      <c r="R38" s="230"/>
      <c r="S38" s="231"/>
      <c r="T38" s="144"/>
      <c r="U38" s="216"/>
      <c r="V38" s="216"/>
      <c r="W38" s="216"/>
      <c r="X38" s="216"/>
      <c r="Y38" s="216"/>
      <c r="Z38" s="216"/>
      <c r="AA38" s="216"/>
      <c r="AB38" s="216"/>
      <c r="AC38" s="216"/>
      <c r="AD38" s="216"/>
      <c r="AE38" s="216"/>
      <c r="AF38" s="216"/>
      <c r="AG38" s="216"/>
      <c r="AH38" s="216"/>
    </row>
    <row r="39" spans="1:34" ht="13.9" customHeight="1" x14ac:dyDescent="0.2">
      <c r="A39" s="296" t="e">
        <f>PLAN!#REF!</f>
        <v>#REF!</v>
      </c>
      <c r="B39" s="299" t="e">
        <f>PLAN!#REF!</f>
        <v>#REF!</v>
      </c>
      <c r="C39" s="296" t="e">
        <f>PLAN!#REF!</f>
        <v>#REF!</v>
      </c>
      <c r="D39" s="121" t="e">
        <f>PLAN!#REF!</f>
        <v>#REF!</v>
      </c>
      <c r="E39" s="227" t="e">
        <f>PLAN!#REF!</f>
        <v>#REF!</v>
      </c>
      <c r="F39" s="227" t="e">
        <f t="shared" si="0"/>
        <v>#REF!</v>
      </c>
      <c r="G39" s="227"/>
      <c r="H39" s="227">
        <v>21</v>
      </c>
      <c r="I39" s="227">
        <f t="shared" si="1"/>
        <v>21</v>
      </c>
      <c r="J39" s="227" t="e">
        <f t="shared" si="2"/>
        <v>#REF!</v>
      </c>
      <c r="K39" s="300" t="e">
        <f t="shared" si="3"/>
        <v>#REF!</v>
      </c>
      <c r="L39" s="227" t="e">
        <f t="shared" si="4"/>
        <v>#REF!</v>
      </c>
      <c r="M39" s="324" t="e">
        <f t="shared" si="5"/>
        <v>#REF!</v>
      </c>
      <c r="N39" s="227" t="e">
        <f t="shared" si="6"/>
        <v>#REF!</v>
      </c>
      <c r="O39" s="216"/>
      <c r="P39" s="226"/>
      <c r="Q39" s="230"/>
      <c r="R39" s="230"/>
      <c r="S39" s="231"/>
      <c r="T39" s="144"/>
      <c r="U39" s="216"/>
      <c r="V39" s="216"/>
      <c r="W39" s="216"/>
      <c r="X39" s="216"/>
      <c r="Y39" s="216"/>
      <c r="Z39" s="216"/>
      <c r="AA39" s="216"/>
      <c r="AB39" s="216"/>
      <c r="AC39" s="216"/>
      <c r="AD39" s="216"/>
      <c r="AE39" s="216"/>
      <c r="AF39" s="216"/>
      <c r="AG39" s="216"/>
      <c r="AH39" s="216"/>
    </row>
    <row r="40" spans="1:34" ht="13.9" customHeight="1" x14ac:dyDescent="0.2">
      <c r="A40" s="296" t="e">
        <f>PLAN!#REF!</f>
        <v>#REF!</v>
      </c>
      <c r="B40" s="299" t="e">
        <f>PLAN!#REF!</f>
        <v>#REF!</v>
      </c>
      <c r="C40" s="296" t="e">
        <f>PLAN!#REF!</f>
        <v>#REF!</v>
      </c>
      <c r="D40" s="121" t="e">
        <f>PLAN!#REF!</f>
        <v>#REF!</v>
      </c>
      <c r="E40" s="227" t="e">
        <f>PLAN!#REF!</f>
        <v>#REF!</v>
      </c>
      <c r="F40" s="227" t="e">
        <f t="shared" si="0"/>
        <v>#REF!</v>
      </c>
      <c r="G40" s="227"/>
      <c r="H40" s="227">
        <v>5.12</v>
      </c>
      <c r="I40" s="227">
        <f t="shared" si="1"/>
        <v>5.12</v>
      </c>
      <c r="J40" s="227" t="e">
        <f t="shared" si="2"/>
        <v>#REF!</v>
      </c>
      <c r="K40" s="300" t="e">
        <f t="shared" si="3"/>
        <v>#REF!</v>
      </c>
      <c r="L40" s="227" t="e">
        <f t="shared" si="4"/>
        <v>#REF!</v>
      </c>
      <c r="M40" s="324" t="e">
        <f t="shared" si="5"/>
        <v>#REF!</v>
      </c>
      <c r="N40" s="227" t="e">
        <f t="shared" si="6"/>
        <v>#REF!</v>
      </c>
      <c r="O40" s="216"/>
      <c r="P40" s="226"/>
      <c r="Q40" s="230"/>
      <c r="R40" s="230"/>
      <c r="S40" s="231"/>
      <c r="T40" s="144"/>
      <c r="U40" s="216"/>
      <c r="V40" s="216"/>
      <c r="W40" s="216"/>
      <c r="X40" s="216"/>
      <c r="Y40" s="216"/>
      <c r="Z40" s="216"/>
      <c r="AA40" s="216"/>
      <c r="AB40" s="216"/>
      <c r="AC40" s="216"/>
      <c r="AD40" s="216"/>
      <c r="AE40" s="216"/>
      <c r="AF40" s="216"/>
      <c r="AG40" s="216"/>
      <c r="AH40" s="216"/>
    </row>
    <row r="41" spans="1:34" ht="13.9" customHeight="1" x14ac:dyDescent="0.2">
      <c r="A41" s="296" t="e">
        <f>PLAN!#REF!</f>
        <v>#REF!</v>
      </c>
      <c r="B41" s="299" t="e">
        <f>PLAN!#REF!</f>
        <v>#REF!</v>
      </c>
      <c r="C41" s="296" t="e">
        <f>PLAN!#REF!</f>
        <v>#REF!</v>
      </c>
      <c r="D41" s="121"/>
      <c r="E41" s="227"/>
      <c r="F41" s="227"/>
      <c r="G41" s="227"/>
      <c r="H41" s="227"/>
      <c r="I41" s="227"/>
      <c r="J41" s="227"/>
      <c r="K41" s="300"/>
      <c r="L41" s="227"/>
      <c r="M41" s="324"/>
      <c r="N41" s="227"/>
      <c r="O41" s="216"/>
      <c r="P41" s="226"/>
      <c r="Q41" s="230"/>
      <c r="R41" s="230"/>
      <c r="S41" s="231"/>
      <c r="T41" s="144"/>
      <c r="U41" s="216"/>
      <c r="V41" s="216"/>
      <c r="W41" s="216"/>
      <c r="X41" s="216"/>
      <c r="Y41" s="216"/>
      <c r="Z41" s="216"/>
      <c r="AA41" s="216"/>
      <c r="AB41" s="216"/>
      <c r="AC41" s="216"/>
      <c r="AD41" s="216"/>
      <c r="AE41" s="216"/>
      <c r="AF41" s="216"/>
      <c r="AG41" s="216"/>
      <c r="AH41" s="216"/>
    </row>
    <row r="42" spans="1:34" ht="13.9" customHeight="1" x14ac:dyDescent="0.2">
      <c r="A42" s="296" t="e">
        <f>PLAN!#REF!</f>
        <v>#REF!</v>
      </c>
      <c r="B42" s="299" t="e">
        <f>PLAN!#REF!</f>
        <v>#REF!</v>
      </c>
      <c r="C42" s="296" t="e">
        <f>PLAN!#REF!</f>
        <v>#REF!</v>
      </c>
      <c r="D42" s="121" t="e">
        <f>PLAN!#REF!</f>
        <v>#REF!</v>
      </c>
      <c r="E42" s="227" t="e">
        <f>PLAN!#REF!</f>
        <v>#REF!</v>
      </c>
      <c r="F42" s="227" t="e">
        <f t="shared" si="0"/>
        <v>#REF!</v>
      </c>
      <c r="G42" s="227"/>
      <c r="H42" s="227">
        <v>25</v>
      </c>
      <c r="I42" s="227">
        <f t="shared" si="1"/>
        <v>25</v>
      </c>
      <c r="J42" s="227" t="e">
        <f t="shared" si="2"/>
        <v>#REF!</v>
      </c>
      <c r="K42" s="300" t="e">
        <f t="shared" si="3"/>
        <v>#REF!</v>
      </c>
      <c r="L42" s="227" t="e">
        <f t="shared" si="4"/>
        <v>#REF!</v>
      </c>
      <c r="M42" s="324" t="e">
        <f t="shared" si="5"/>
        <v>#REF!</v>
      </c>
      <c r="N42" s="227" t="e">
        <f t="shared" si="6"/>
        <v>#REF!</v>
      </c>
      <c r="O42" s="216"/>
      <c r="P42" s="226"/>
      <c r="Q42" s="230"/>
      <c r="R42" s="230"/>
      <c r="S42" s="231"/>
      <c r="T42" s="144"/>
      <c r="U42" s="216"/>
      <c r="V42" s="216"/>
      <c r="W42" s="216"/>
      <c r="X42" s="216"/>
      <c r="Y42" s="216"/>
      <c r="Z42" s="216"/>
      <c r="AA42" s="216"/>
      <c r="AB42" s="216"/>
      <c r="AC42" s="216"/>
      <c r="AD42" s="216"/>
      <c r="AE42" s="216"/>
      <c r="AF42" s="216"/>
      <c r="AG42" s="216"/>
      <c r="AH42" s="216"/>
    </row>
    <row r="43" spans="1:34" ht="13.9" customHeight="1" x14ac:dyDescent="0.2">
      <c r="A43" s="296" t="e">
        <f>PLAN!#REF!</f>
        <v>#REF!</v>
      </c>
      <c r="B43" s="299" t="e">
        <f>PLAN!#REF!</f>
        <v>#REF!</v>
      </c>
      <c r="C43" s="296" t="e">
        <f>PLAN!#REF!</f>
        <v>#REF!</v>
      </c>
      <c r="D43" s="121" t="e">
        <f>PLAN!#REF!</f>
        <v>#REF!</v>
      </c>
      <c r="E43" s="227" t="e">
        <f>PLAN!#REF!</f>
        <v>#REF!</v>
      </c>
      <c r="F43" s="227" t="e">
        <f t="shared" si="0"/>
        <v>#REF!</v>
      </c>
      <c r="G43" s="227"/>
      <c r="H43" s="227">
        <v>25</v>
      </c>
      <c r="I43" s="227">
        <f t="shared" si="1"/>
        <v>25</v>
      </c>
      <c r="J43" s="227" t="e">
        <f t="shared" si="2"/>
        <v>#REF!</v>
      </c>
      <c r="K43" s="300" t="e">
        <f t="shared" si="3"/>
        <v>#REF!</v>
      </c>
      <c r="L43" s="227" t="e">
        <f t="shared" si="4"/>
        <v>#REF!</v>
      </c>
      <c r="M43" s="324" t="e">
        <f t="shared" si="5"/>
        <v>#REF!</v>
      </c>
      <c r="N43" s="227" t="e">
        <f t="shared" si="6"/>
        <v>#REF!</v>
      </c>
      <c r="O43" s="216"/>
      <c r="P43" s="226"/>
      <c r="Q43" s="230"/>
      <c r="R43" s="230"/>
      <c r="S43" s="231"/>
      <c r="T43" s="144"/>
      <c r="U43" s="216"/>
      <c r="V43" s="216"/>
      <c r="W43" s="216"/>
      <c r="X43" s="216"/>
      <c r="Y43" s="216"/>
      <c r="Z43" s="216"/>
      <c r="AA43" s="216"/>
      <c r="AB43" s="216"/>
      <c r="AC43" s="216"/>
      <c r="AD43" s="216"/>
      <c r="AE43" s="216"/>
      <c r="AF43" s="216"/>
      <c r="AG43" s="216"/>
      <c r="AH43" s="216"/>
    </row>
    <row r="44" spans="1:34" ht="13.9" customHeight="1" x14ac:dyDescent="0.2">
      <c r="A44" s="296" t="e">
        <f>PLAN!#REF!</f>
        <v>#REF!</v>
      </c>
      <c r="B44" s="299" t="e">
        <f>PLAN!#REF!</f>
        <v>#REF!</v>
      </c>
      <c r="C44" s="296" t="e">
        <f>PLAN!#REF!</f>
        <v>#REF!</v>
      </c>
      <c r="D44" s="121" t="e">
        <f>PLAN!#REF!</f>
        <v>#REF!</v>
      </c>
      <c r="E44" s="227" t="e">
        <f>PLAN!#REF!</f>
        <v>#REF!</v>
      </c>
      <c r="F44" s="227" t="e">
        <f t="shared" si="0"/>
        <v>#REF!</v>
      </c>
      <c r="G44" s="227"/>
      <c r="H44" s="227">
        <v>50</v>
      </c>
      <c r="I44" s="227">
        <f t="shared" si="1"/>
        <v>50</v>
      </c>
      <c r="J44" s="227" t="e">
        <f t="shared" si="2"/>
        <v>#REF!</v>
      </c>
      <c r="K44" s="300" t="e">
        <f t="shared" si="3"/>
        <v>#REF!</v>
      </c>
      <c r="L44" s="227" t="e">
        <f t="shared" si="4"/>
        <v>#REF!</v>
      </c>
      <c r="M44" s="324" t="e">
        <f t="shared" si="5"/>
        <v>#REF!</v>
      </c>
      <c r="N44" s="227" t="e">
        <f t="shared" si="6"/>
        <v>#REF!</v>
      </c>
      <c r="O44" s="216"/>
      <c r="P44" s="226"/>
      <c r="Q44" s="230"/>
      <c r="R44" s="230"/>
      <c r="S44" s="231"/>
      <c r="T44" s="144"/>
      <c r="U44" s="216"/>
      <c r="V44" s="216"/>
      <c r="W44" s="216"/>
      <c r="X44" s="216"/>
      <c r="Y44" s="216"/>
      <c r="Z44" s="216"/>
      <c r="AA44" s="216"/>
      <c r="AB44" s="216"/>
      <c r="AC44" s="216"/>
      <c r="AD44" s="216"/>
      <c r="AE44" s="216"/>
      <c r="AF44" s="216"/>
      <c r="AG44" s="216"/>
      <c r="AH44" s="216"/>
    </row>
    <row r="45" spans="1:34" ht="13.9" customHeight="1" x14ac:dyDescent="0.2">
      <c r="A45" s="296"/>
      <c r="B45" s="299"/>
      <c r="C45" s="296"/>
      <c r="D45" s="121"/>
      <c r="E45" s="227"/>
      <c r="F45" s="227"/>
      <c r="G45" s="227"/>
      <c r="H45" s="227"/>
      <c r="I45" s="227"/>
      <c r="J45" s="227"/>
      <c r="K45" s="300"/>
      <c r="L45" s="227"/>
      <c r="M45" s="324"/>
      <c r="N45" s="227"/>
      <c r="O45" s="216"/>
      <c r="P45" s="226"/>
      <c r="Q45" s="230"/>
      <c r="R45" s="230"/>
      <c r="S45" s="231"/>
      <c r="T45" s="144"/>
      <c r="U45" s="216"/>
      <c r="V45" s="216"/>
      <c r="W45" s="216"/>
      <c r="X45" s="216"/>
      <c r="Y45" s="216"/>
      <c r="Z45" s="216"/>
      <c r="AA45" s="216"/>
      <c r="AB45" s="216"/>
      <c r="AC45" s="216"/>
      <c r="AD45" s="216"/>
      <c r="AE45" s="216"/>
      <c r="AF45" s="216"/>
      <c r="AG45" s="216"/>
      <c r="AH45" s="216"/>
    </row>
    <row r="46" spans="1:34" ht="13.9" customHeight="1" x14ac:dyDescent="0.2">
      <c r="A46" s="296"/>
      <c r="B46" s="299"/>
      <c r="C46" s="296"/>
      <c r="D46" s="121"/>
      <c r="E46" s="227"/>
      <c r="F46" s="227"/>
      <c r="G46" s="227"/>
      <c r="H46" s="227"/>
      <c r="I46" s="227"/>
      <c r="J46" s="227"/>
      <c r="K46" s="300"/>
      <c r="L46" s="227"/>
      <c r="M46" s="324"/>
      <c r="N46" s="227"/>
      <c r="O46" s="216"/>
      <c r="P46" s="226"/>
      <c r="Q46" s="230"/>
      <c r="R46" s="230"/>
      <c r="S46" s="231"/>
      <c r="T46" s="144"/>
      <c r="U46" s="216"/>
      <c r="V46" s="216"/>
      <c r="W46" s="216"/>
      <c r="X46" s="216"/>
      <c r="Y46" s="216"/>
      <c r="Z46" s="216"/>
      <c r="AA46" s="216"/>
      <c r="AB46" s="216"/>
      <c r="AC46" s="216"/>
      <c r="AD46" s="216"/>
      <c r="AE46" s="216"/>
      <c r="AF46" s="216"/>
      <c r="AG46" s="216"/>
      <c r="AH46" s="216"/>
    </row>
    <row r="47" spans="1:34" ht="13.9" customHeight="1" x14ac:dyDescent="0.2">
      <c r="A47" s="296"/>
      <c r="B47" s="299"/>
      <c r="C47" s="296"/>
      <c r="D47" s="121"/>
      <c r="E47" s="227"/>
      <c r="F47" s="227"/>
      <c r="G47" s="227"/>
      <c r="H47" s="227"/>
      <c r="I47" s="227"/>
      <c r="J47" s="227"/>
      <c r="K47" s="300"/>
      <c r="L47" s="227"/>
      <c r="M47" s="324"/>
      <c r="N47" s="227"/>
      <c r="O47" s="216"/>
      <c r="P47" s="226"/>
      <c r="Q47" s="230"/>
      <c r="R47" s="230"/>
      <c r="S47" s="231"/>
      <c r="T47" s="144"/>
      <c r="U47" s="216"/>
      <c r="V47" s="216"/>
      <c r="W47" s="216"/>
      <c r="X47" s="216"/>
      <c r="Y47" s="216"/>
      <c r="Z47" s="216"/>
      <c r="AA47" s="216"/>
      <c r="AB47" s="216"/>
      <c r="AC47" s="216"/>
      <c r="AD47" s="216"/>
      <c r="AE47" s="216"/>
      <c r="AF47" s="216"/>
      <c r="AG47" s="216"/>
      <c r="AH47" s="216"/>
    </row>
    <row r="48" spans="1:34" ht="13.9" customHeight="1" x14ac:dyDescent="0.2">
      <c r="A48" s="296"/>
      <c r="B48" s="299"/>
      <c r="C48" s="296"/>
      <c r="D48" s="121"/>
      <c r="E48" s="227"/>
      <c r="F48" s="227"/>
      <c r="G48" s="227"/>
      <c r="H48" s="227"/>
      <c r="I48" s="227"/>
      <c r="J48" s="227"/>
      <c r="K48" s="300"/>
      <c r="L48" s="227"/>
      <c r="M48" s="324"/>
      <c r="N48" s="227"/>
      <c r="O48" s="216"/>
      <c r="P48" s="226"/>
      <c r="Q48" s="230"/>
      <c r="R48" s="230"/>
      <c r="S48" s="231"/>
      <c r="T48" s="144"/>
      <c r="U48" s="216"/>
      <c r="V48" s="216"/>
      <c r="W48" s="216"/>
      <c r="X48" s="216"/>
      <c r="Y48" s="216"/>
      <c r="Z48" s="216"/>
      <c r="AA48" s="216"/>
      <c r="AB48" s="216"/>
      <c r="AC48" s="216"/>
      <c r="AD48" s="216"/>
      <c r="AE48" s="216"/>
      <c r="AF48" s="216"/>
      <c r="AG48" s="216"/>
      <c r="AH48" s="216"/>
    </row>
    <row r="49" spans="1:34" ht="13.9" customHeight="1" x14ac:dyDescent="0.2">
      <c r="A49" s="296"/>
      <c r="B49" s="299"/>
      <c r="C49" s="296"/>
      <c r="D49" s="121"/>
      <c r="E49" s="227"/>
      <c r="F49" s="227"/>
      <c r="G49" s="227"/>
      <c r="H49" s="227"/>
      <c r="I49" s="227"/>
      <c r="J49" s="227"/>
      <c r="K49" s="300"/>
      <c r="L49" s="227"/>
      <c r="M49" s="324"/>
      <c r="N49" s="227"/>
      <c r="O49" s="216"/>
      <c r="P49" s="226"/>
      <c r="Q49" s="230"/>
      <c r="R49" s="230"/>
      <c r="S49" s="231"/>
      <c r="T49" s="144"/>
      <c r="U49" s="216"/>
      <c r="V49" s="216"/>
      <c r="W49" s="216"/>
      <c r="X49" s="216"/>
      <c r="Y49" s="216"/>
      <c r="Z49" s="216"/>
      <c r="AA49" s="216"/>
      <c r="AB49" s="216"/>
      <c r="AC49" s="216"/>
      <c r="AD49" s="216"/>
      <c r="AE49" s="216"/>
      <c r="AF49" s="216"/>
      <c r="AG49" s="216"/>
      <c r="AH49" s="216"/>
    </row>
    <row r="50" spans="1:34" ht="13.9" customHeight="1" x14ac:dyDescent="0.2">
      <c r="A50" s="296"/>
      <c r="B50" s="299"/>
      <c r="C50" s="296"/>
      <c r="D50" s="121"/>
      <c r="E50" s="227"/>
      <c r="F50" s="227"/>
      <c r="G50" s="227"/>
      <c r="H50" s="227"/>
      <c r="I50" s="227"/>
      <c r="J50" s="227"/>
      <c r="K50" s="300"/>
      <c r="L50" s="227"/>
      <c r="M50" s="324"/>
      <c r="N50" s="227"/>
      <c r="O50" s="216"/>
      <c r="P50" s="226"/>
      <c r="Q50" s="230"/>
      <c r="R50" s="230"/>
      <c r="S50" s="231"/>
      <c r="T50" s="144"/>
      <c r="U50" s="216"/>
      <c r="V50" s="216"/>
      <c r="W50" s="216"/>
      <c r="X50" s="216"/>
      <c r="Y50" s="216"/>
      <c r="Z50" s="216"/>
      <c r="AA50" s="216"/>
      <c r="AB50" s="216"/>
      <c r="AC50" s="216"/>
      <c r="AD50" s="216"/>
      <c r="AE50" s="216"/>
      <c r="AF50" s="216"/>
      <c r="AG50" s="216"/>
      <c r="AH50" s="216"/>
    </row>
    <row r="51" spans="1:34" ht="13.9" customHeight="1" x14ac:dyDescent="0.2">
      <c r="A51" s="296"/>
      <c r="B51" s="299"/>
      <c r="C51" s="296"/>
      <c r="D51" s="121"/>
      <c r="E51" s="227"/>
      <c r="F51" s="227"/>
      <c r="G51" s="227"/>
      <c r="H51" s="227"/>
      <c r="I51" s="227"/>
      <c r="J51" s="227"/>
      <c r="K51" s="300"/>
      <c r="L51" s="227"/>
      <c r="M51" s="324"/>
      <c r="N51" s="227"/>
      <c r="O51" s="216"/>
      <c r="P51" s="226"/>
      <c r="Q51" s="230"/>
      <c r="R51" s="230"/>
      <c r="S51" s="231"/>
      <c r="T51" s="144"/>
      <c r="U51" s="216"/>
      <c r="V51" s="216"/>
      <c r="W51" s="216"/>
      <c r="X51" s="216"/>
      <c r="Y51" s="216"/>
      <c r="Z51" s="216"/>
      <c r="AA51" s="216"/>
      <c r="AB51" s="216"/>
      <c r="AC51" s="216"/>
      <c r="AD51" s="216"/>
      <c r="AE51" s="216"/>
      <c r="AF51" s="216"/>
      <c r="AG51" s="216"/>
      <c r="AH51" s="216"/>
    </row>
    <row r="52" spans="1:34" ht="13.9" customHeight="1" x14ac:dyDescent="0.2">
      <c r="A52" s="296"/>
      <c r="B52" s="299"/>
      <c r="C52" s="296"/>
      <c r="D52" s="121"/>
      <c r="E52" s="227"/>
      <c r="F52" s="227"/>
      <c r="G52" s="227"/>
      <c r="H52" s="227"/>
      <c r="I52" s="227"/>
      <c r="J52" s="227"/>
      <c r="K52" s="300"/>
      <c r="L52" s="227"/>
      <c r="M52" s="324"/>
      <c r="N52" s="227"/>
      <c r="O52" s="216"/>
      <c r="P52" s="226"/>
      <c r="Q52" s="230"/>
      <c r="R52" s="230"/>
      <c r="S52" s="231"/>
      <c r="T52" s="144"/>
      <c r="U52" s="216"/>
      <c r="V52" s="216"/>
      <c r="W52" s="216"/>
      <c r="X52" s="216"/>
      <c r="Y52" s="216"/>
      <c r="Z52" s="216"/>
      <c r="AA52" s="216"/>
      <c r="AB52" s="216"/>
      <c r="AC52" s="216"/>
      <c r="AD52" s="216"/>
      <c r="AE52" s="216"/>
      <c r="AF52" s="216"/>
      <c r="AG52" s="216"/>
      <c r="AH52" s="216"/>
    </row>
    <row r="53" spans="1:34" ht="13.9" customHeight="1" x14ac:dyDescent="0.2">
      <c r="A53" s="296"/>
      <c r="B53" s="299"/>
      <c r="C53" s="296"/>
      <c r="D53" s="121"/>
      <c r="E53" s="227"/>
      <c r="F53" s="227"/>
      <c r="G53" s="227"/>
      <c r="H53" s="227"/>
      <c r="I53" s="227"/>
      <c r="J53" s="227"/>
      <c r="K53" s="300"/>
      <c r="L53" s="227"/>
      <c r="M53" s="324"/>
      <c r="N53" s="227"/>
      <c r="O53" s="216"/>
      <c r="P53" s="226"/>
      <c r="Q53" s="230"/>
      <c r="R53" s="230"/>
      <c r="S53" s="231"/>
      <c r="T53" s="144"/>
      <c r="U53" s="216"/>
      <c r="V53" s="216"/>
      <c r="W53" s="216"/>
      <c r="X53" s="216"/>
      <c r="Y53" s="216"/>
      <c r="Z53" s="216"/>
      <c r="AA53" s="216"/>
      <c r="AB53" s="216"/>
      <c r="AC53" s="216"/>
      <c r="AD53" s="216"/>
      <c r="AE53" s="216"/>
      <c r="AF53" s="216"/>
      <c r="AG53" s="216"/>
      <c r="AH53" s="216"/>
    </row>
    <row r="54" spans="1:34" ht="13.9" customHeight="1" x14ac:dyDescent="0.2">
      <c r="A54" s="296"/>
      <c r="B54" s="299"/>
      <c r="C54" s="296"/>
      <c r="D54" s="121"/>
      <c r="E54" s="227"/>
      <c r="F54" s="227"/>
      <c r="G54" s="227"/>
      <c r="H54" s="227"/>
      <c r="I54" s="227"/>
      <c r="J54" s="227"/>
      <c r="K54" s="300"/>
      <c r="L54" s="227"/>
      <c r="M54" s="324"/>
      <c r="N54" s="227"/>
      <c r="O54" s="216"/>
      <c r="P54" s="226"/>
      <c r="Q54" s="230"/>
      <c r="R54" s="230"/>
      <c r="S54" s="231"/>
      <c r="T54" s="144"/>
      <c r="U54" s="216"/>
      <c r="V54" s="216"/>
      <c r="W54" s="216"/>
      <c r="X54" s="216"/>
      <c r="Y54" s="216"/>
      <c r="Z54" s="216"/>
      <c r="AA54" s="216"/>
      <c r="AB54" s="216"/>
      <c r="AC54" s="216"/>
      <c r="AD54" s="216"/>
      <c r="AE54" s="216"/>
      <c r="AF54" s="216"/>
      <c r="AG54" s="216"/>
      <c r="AH54" s="216"/>
    </row>
    <row r="55" spans="1:34" ht="13.9" customHeight="1" x14ac:dyDescent="0.2">
      <c r="A55" s="296"/>
      <c r="B55" s="299"/>
      <c r="C55" s="296"/>
      <c r="D55" s="121"/>
      <c r="E55" s="227"/>
      <c r="F55" s="227"/>
      <c r="G55" s="227"/>
      <c r="H55" s="227"/>
      <c r="I55" s="227"/>
      <c r="J55" s="227"/>
      <c r="K55" s="300"/>
      <c r="L55" s="227"/>
      <c r="M55" s="324"/>
      <c r="N55" s="227"/>
      <c r="O55" s="216"/>
      <c r="P55" s="226"/>
      <c r="Q55" s="230"/>
      <c r="R55" s="230"/>
      <c r="S55" s="231"/>
      <c r="T55" s="144"/>
      <c r="U55" s="216"/>
      <c r="V55" s="216"/>
      <c r="W55" s="216"/>
      <c r="X55" s="216"/>
      <c r="Y55" s="216"/>
      <c r="Z55" s="216"/>
      <c r="AA55" s="216"/>
      <c r="AB55" s="216"/>
      <c r="AC55" s="216"/>
      <c r="AD55" s="216"/>
      <c r="AE55" s="216"/>
      <c r="AF55" s="216"/>
      <c r="AG55" s="216"/>
      <c r="AH55" s="216"/>
    </row>
    <row r="56" spans="1:34" ht="13.9" customHeight="1" x14ac:dyDescent="0.2">
      <c r="A56" s="296"/>
      <c r="B56" s="299"/>
      <c r="C56" s="296"/>
      <c r="D56" s="121"/>
      <c r="E56" s="227"/>
      <c r="F56" s="227"/>
      <c r="G56" s="227"/>
      <c r="H56" s="227"/>
      <c r="I56" s="227"/>
      <c r="J56" s="227"/>
      <c r="K56" s="300"/>
      <c r="L56" s="227"/>
      <c r="M56" s="324"/>
      <c r="N56" s="227"/>
      <c r="O56" s="216"/>
      <c r="P56" s="226"/>
      <c r="Q56" s="230"/>
      <c r="R56" s="230"/>
      <c r="S56" s="231"/>
      <c r="T56" s="144"/>
      <c r="U56" s="216"/>
      <c r="V56" s="216"/>
      <c r="W56" s="216"/>
      <c r="X56" s="216"/>
      <c r="Y56" s="216"/>
      <c r="Z56" s="216"/>
      <c r="AA56" s="216"/>
      <c r="AB56" s="216"/>
      <c r="AC56" s="216"/>
      <c r="AD56" s="216"/>
      <c r="AE56" s="216"/>
      <c r="AF56" s="216"/>
      <c r="AG56" s="216"/>
      <c r="AH56" s="216"/>
    </row>
    <row r="57" spans="1:34" ht="13.9" customHeight="1" x14ac:dyDescent="0.2">
      <c r="A57" s="296"/>
      <c r="B57" s="299"/>
      <c r="C57" s="296"/>
      <c r="D57" s="121"/>
      <c r="E57" s="227"/>
      <c r="F57" s="227"/>
      <c r="G57" s="227"/>
      <c r="H57" s="227"/>
      <c r="I57" s="227"/>
      <c r="J57" s="227"/>
      <c r="K57" s="300"/>
      <c r="L57" s="227"/>
      <c r="M57" s="324"/>
      <c r="N57" s="227"/>
      <c r="O57" s="216"/>
      <c r="P57" s="226"/>
      <c r="Q57" s="230"/>
      <c r="R57" s="230"/>
      <c r="S57" s="231"/>
      <c r="T57" s="144"/>
      <c r="U57" s="216"/>
      <c r="V57" s="216"/>
      <c r="W57" s="216"/>
      <c r="X57" s="216"/>
      <c r="Y57" s="216"/>
      <c r="Z57" s="216"/>
      <c r="AA57" s="216"/>
      <c r="AB57" s="216"/>
      <c r="AC57" s="216"/>
      <c r="AD57" s="216"/>
      <c r="AE57" s="216"/>
      <c r="AF57" s="216"/>
      <c r="AG57" s="216"/>
      <c r="AH57" s="216"/>
    </row>
    <row r="58" spans="1:34" ht="13.9" customHeight="1" x14ac:dyDescent="0.2">
      <c r="A58" s="296"/>
      <c r="B58" s="299"/>
      <c r="C58" s="296"/>
      <c r="D58" s="121"/>
      <c r="E58" s="227"/>
      <c r="F58" s="227"/>
      <c r="G58" s="227"/>
      <c r="H58" s="227"/>
      <c r="I58" s="227"/>
      <c r="J58" s="227"/>
      <c r="K58" s="300"/>
      <c r="L58" s="227"/>
      <c r="M58" s="324"/>
      <c r="N58" s="227"/>
      <c r="O58" s="216"/>
      <c r="P58" s="226"/>
      <c r="Q58" s="230"/>
      <c r="R58" s="230"/>
      <c r="S58" s="231"/>
      <c r="T58" s="144"/>
      <c r="U58" s="216"/>
      <c r="V58" s="216"/>
      <c r="W58" s="216"/>
      <c r="X58" s="216"/>
      <c r="Y58" s="216"/>
      <c r="Z58" s="216"/>
      <c r="AA58" s="216"/>
      <c r="AB58" s="216"/>
      <c r="AC58" s="216"/>
      <c r="AD58" s="216"/>
      <c r="AE58" s="216"/>
      <c r="AF58" s="216"/>
      <c r="AG58" s="216"/>
      <c r="AH58" s="216"/>
    </row>
    <row r="59" spans="1:34" ht="13.9" customHeight="1" x14ac:dyDescent="0.2">
      <c r="A59" s="296"/>
      <c r="B59" s="299"/>
      <c r="C59" s="296"/>
      <c r="D59" s="121"/>
      <c r="E59" s="227"/>
      <c r="F59" s="227"/>
      <c r="G59" s="227"/>
      <c r="H59" s="227"/>
      <c r="I59" s="227"/>
      <c r="J59" s="227"/>
      <c r="K59" s="300"/>
      <c r="L59" s="227"/>
      <c r="M59" s="324"/>
      <c r="N59" s="227"/>
      <c r="O59" s="216"/>
      <c r="P59" s="226"/>
      <c r="Q59" s="230"/>
      <c r="R59" s="230"/>
      <c r="S59" s="231"/>
      <c r="T59" s="144"/>
      <c r="U59" s="216"/>
      <c r="V59" s="216"/>
      <c r="W59" s="216"/>
      <c r="X59" s="216"/>
      <c r="Y59" s="216"/>
      <c r="Z59" s="216"/>
      <c r="AA59" s="216"/>
      <c r="AB59" s="216"/>
      <c r="AC59" s="216"/>
      <c r="AD59" s="216"/>
      <c r="AE59" s="216"/>
      <c r="AF59" s="216"/>
      <c r="AG59" s="216"/>
      <c r="AH59" s="216"/>
    </row>
    <row r="60" spans="1:34" ht="13.9" customHeight="1" x14ac:dyDescent="0.2">
      <c r="A60" s="296"/>
      <c r="B60" s="299"/>
      <c r="C60" s="296"/>
      <c r="D60" s="121"/>
      <c r="E60" s="227"/>
      <c r="F60" s="227"/>
      <c r="G60" s="227"/>
      <c r="H60" s="227"/>
      <c r="I60" s="227"/>
      <c r="J60" s="227"/>
      <c r="K60" s="300"/>
      <c r="L60" s="227"/>
      <c r="M60" s="324"/>
      <c r="N60" s="227"/>
      <c r="O60" s="216"/>
      <c r="P60" s="226"/>
      <c r="Q60" s="230"/>
      <c r="R60" s="230"/>
      <c r="S60" s="231"/>
      <c r="T60" s="144"/>
      <c r="U60" s="216"/>
      <c r="V60" s="216"/>
      <c r="W60" s="216"/>
      <c r="X60" s="216"/>
      <c r="Y60" s="216"/>
      <c r="Z60" s="216"/>
      <c r="AA60" s="216"/>
      <c r="AB60" s="216"/>
      <c r="AC60" s="216"/>
      <c r="AD60" s="216"/>
      <c r="AE60" s="216"/>
      <c r="AF60" s="216"/>
      <c r="AG60" s="216"/>
      <c r="AH60" s="216"/>
    </row>
    <row r="61" spans="1:34" ht="13.9" customHeight="1" x14ac:dyDescent="0.2">
      <c r="A61" s="296"/>
      <c r="B61" s="299"/>
      <c r="C61" s="296"/>
      <c r="D61" s="121"/>
      <c r="E61" s="227"/>
      <c r="F61" s="227"/>
      <c r="G61" s="227"/>
      <c r="H61" s="227"/>
      <c r="I61" s="227"/>
      <c r="J61" s="227"/>
      <c r="K61" s="300"/>
      <c r="L61" s="227"/>
      <c r="M61" s="324"/>
      <c r="N61" s="227"/>
      <c r="O61" s="216"/>
      <c r="P61" s="226"/>
      <c r="Q61" s="230"/>
      <c r="R61" s="230"/>
      <c r="S61" s="231"/>
      <c r="T61" s="144"/>
      <c r="U61" s="216"/>
      <c r="V61" s="216"/>
      <c r="W61" s="216"/>
      <c r="X61" s="216"/>
      <c r="Y61" s="216"/>
      <c r="Z61" s="216"/>
      <c r="AA61" s="216"/>
      <c r="AB61" s="216"/>
      <c r="AC61" s="216"/>
      <c r="AD61" s="216"/>
      <c r="AE61" s="216"/>
      <c r="AF61" s="216"/>
      <c r="AG61" s="216"/>
      <c r="AH61" s="216"/>
    </row>
    <row r="62" spans="1:34" ht="13.9" customHeight="1" x14ac:dyDescent="0.2">
      <c r="A62" s="296"/>
      <c r="B62" s="299"/>
      <c r="C62" s="296"/>
      <c r="D62" s="121"/>
      <c r="E62" s="227"/>
      <c r="F62" s="227"/>
      <c r="G62" s="227"/>
      <c r="H62" s="227"/>
      <c r="I62" s="227"/>
      <c r="J62" s="227"/>
      <c r="K62" s="300"/>
      <c r="L62" s="227"/>
      <c r="M62" s="324"/>
      <c r="N62" s="227"/>
      <c r="O62" s="216"/>
      <c r="P62" s="226"/>
      <c r="Q62" s="230"/>
      <c r="R62" s="230"/>
      <c r="S62" s="231"/>
      <c r="T62" s="144"/>
      <c r="U62" s="216"/>
      <c r="V62" s="216"/>
      <c r="W62" s="216"/>
      <c r="X62" s="216"/>
      <c r="Y62" s="216"/>
      <c r="Z62" s="216"/>
      <c r="AA62" s="216"/>
      <c r="AB62" s="216"/>
      <c r="AC62" s="216"/>
      <c r="AD62" s="216"/>
      <c r="AE62" s="216"/>
      <c r="AF62" s="216"/>
      <c r="AG62" s="216"/>
      <c r="AH62" s="216"/>
    </row>
    <row r="63" spans="1:34" ht="13.9" customHeight="1" x14ac:dyDescent="0.2">
      <c r="A63" s="296"/>
      <c r="B63" s="299"/>
      <c r="C63" s="296"/>
      <c r="D63" s="121"/>
      <c r="E63" s="227"/>
      <c r="F63" s="227"/>
      <c r="G63" s="227"/>
      <c r="H63" s="227"/>
      <c r="I63" s="227"/>
      <c r="J63" s="227"/>
      <c r="K63" s="300"/>
      <c r="L63" s="227"/>
      <c r="M63" s="324"/>
      <c r="N63" s="227"/>
      <c r="O63" s="216"/>
      <c r="P63" s="226"/>
      <c r="Q63" s="230"/>
      <c r="R63" s="230"/>
      <c r="S63" s="231"/>
      <c r="T63" s="144"/>
      <c r="U63" s="216"/>
      <c r="V63" s="216"/>
      <c r="W63" s="216"/>
      <c r="X63" s="216"/>
      <c r="Y63" s="216"/>
      <c r="Z63" s="216"/>
      <c r="AA63" s="216"/>
      <c r="AB63" s="216"/>
      <c r="AC63" s="216"/>
      <c r="AD63" s="216"/>
      <c r="AE63" s="216"/>
      <c r="AF63" s="216"/>
      <c r="AG63" s="216"/>
      <c r="AH63" s="216"/>
    </row>
    <row r="64" spans="1:34" ht="13.9" customHeight="1" x14ac:dyDescent="0.2">
      <c r="A64" s="296"/>
      <c r="B64" s="299"/>
      <c r="C64" s="296"/>
      <c r="D64" s="121"/>
      <c r="E64" s="227"/>
      <c r="F64" s="227"/>
      <c r="G64" s="227"/>
      <c r="H64" s="227"/>
      <c r="I64" s="227"/>
      <c r="J64" s="227"/>
      <c r="K64" s="300"/>
      <c r="L64" s="227"/>
      <c r="M64" s="324"/>
      <c r="N64" s="227"/>
      <c r="O64" s="229"/>
      <c r="P64" s="226"/>
      <c r="Q64" s="224"/>
      <c r="R64" s="228"/>
      <c r="S64" s="226"/>
      <c r="T64" s="216"/>
      <c r="U64" s="216"/>
      <c r="V64" s="216"/>
      <c r="W64" s="216"/>
      <c r="X64" s="216"/>
      <c r="Y64" s="216"/>
      <c r="Z64" s="216"/>
      <c r="AA64" s="216"/>
      <c r="AB64" s="216"/>
      <c r="AC64" s="216"/>
      <c r="AD64" s="216"/>
      <c r="AE64" s="216"/>
      <c r="AF64" s="216"/>
      <c r="AG64" s="216"/>
      <c r="AH64" s="216"/>
    </row>
    <row r="65" spans="1:34" ht="13.9" customHeight="1" x14ac:dyDescent="0.2">
      <c r="A65" s="640" t="s">
        <v>28</v>
      </c>
      <c r="B65" s="640"/>
      <c r="C65" s="640"/>
      <c r="D65" s="640"/>
      <c r="E65" s="640"/>
      <c r="F65" s="326" t="e">
        <f>SUM(F8:F64)</f>
        <v>#REF!</v>
      </c>
      <c r="G65" s="326"/>
      <c r="H65" s="326"/>
      <c r="I65" s="326"/>
      <c r="J65" s="326"/>
      <c r="K65" s="326" t="e">
        <f>SUM(K8:K64)</f>
        <v>#REF!</v>
      </c>
      <c r="L65" s="326" t="e">
        <f>SUM(L8:L64)</f>
        <v>#REF!</v>
      </c>
      <c r="M65" s="348" t="e">
        <f>L65/F65</f>
        <v>#REF!</v>
      </c>
      <c r="N65" s="326" t="e">
        <f>SUM(N8:N64)</f>
        <v>#REF!</v>
      </c>
      <c r="O65" s="232">
        <f>SUM(O7:O64)</f>
        <v>32867.200700000001</v>
      </c>
      <c r="P65" s="220"/>
      <c r="Q65" s="216"/>
      <c r="R65" s="216"/>
      <c r="S65" s="216"/>
      <c r="T65" s="216"/>
      <c r="U65" s="216"/>
      <c r="V65" s="216"/>
      <c r="W65" s="216"/>
      <c r="X65" s="216"/>
      <c r="Y65" s="216"/>
      <c r="Z65" s="216"/>
      <c r="AA65" s="216"/>
      <c r="AB65" s="216"/>
      <c r="AC65" s="216"/>
      <c r="AD65" s="216"/>
      <c r="AE65" s="216"/>
      <c r="AF65" s="233"/>
      <c r="AG65" s="216"/>
      <c r="AH65" s="216"/>
    </row>
    <row r="66" spans="1:34" ht="13.9" customHeight="1" x14ac:dyDescent="0.2">
      <c r="A66" s="328"/>
      <c r="B66" s="192"/>
      <c r="C66" s="329"/>
      <c r="D66" s="189"/>
      <c r="E66" s="330"/>
      <c r="F66" s="651" t="s">
        <v>174</v>
      </c>
      <c r="G66" s="652"/>
      <c r="H66" s="268" t="e">
        <f>K65</f>
        <v>#REF!</v>
      </c>
      <c r="I66" s="482" t="str" cm="1">
        <f t="array" ref="I66">ValorPorExtenso(H66)</f>
        <v>valor inválido</v>
      </c>
      <c r="J66" s="483"/>
      <c r="K66" s="483"/>
      <c r="L66" s="483"/>
      <c r="M66" s="483"/>
      <c r="N66" s="484"/>
      <c r="O66" s="235"/>
      <c r="P66" s="216"/>
      <c r="Q66" s="216"/>
      <c r="R66" s="216"/>
      <c r="S66" s="216"/>
      <c r="T66" s="216"/>
      <c r="U66" s="216"/>
      <c r="V66" s="216"/>
      <c r="W66" s="216"/>
      <c r="X66" s="216"/>
      <c r="Y66" s="216"/>
      <c r="Z66" s="216"/>
      <c r="AA66" s="216"/>
      <c r="AB66" s="216"/>
      <c r="AC66" s="216"/>
      <c r="AD66" s="216"/>
      <c r="AE66" s="216"/>
      <c r="AF66" s="216"/>
      <c r="AG66" s="216"/>
      <c r="AH66" s="216"/>
    </row>
    <row r="67" spans="1:34" ht="13.9" customHeight="1" x14ac:dyDescent="0.2">
      <c r="A67" s="236"/>
      <c r="B67" s="216"/>
      <c r="C67" s="216"/>
      <c r="D67" s="216"/>
      <c r="E67" s="216"/>
      <c r="F67" s="216"/>
      <c r="G67" s="216"/>
      <c r="H67" s="216"/>
      <c r="I67" s="216"/>
      <c r="J67" s="216"/>
      <c r="K67" s="216"/>
      <c r="L67" s="216"/>
      <c r="M67" s="216"/>
      <c r="N67" s="237"/>
      <c r="O67" s="216"/>
      <c r="P67" s="216"/>
      <c r="Q67" s="216"/>
      <c r="R67" s="216"/>
      <c r="S67" s="216"/>
      <c r="T67" s="216"/>
      <c r="U67" s="216"/>
      <c r="V67" s="216"/>
      <c r="W67" s="216"/>
      <c r="X67" s="216"/>
      <c r="Y67" s="216"/>
      <c r="Z67" s="216"/>
      <c r="AA67" s="216"/>
      <c r="AB67" s="216"/>
      <c r="AC67" s="216"/>
      <c r="AD67" s="216"/>
      <c r="AE67" s="216"/>
      <c r="AF67" s="216"/>
      <c r="AG67" s="216"/>
      <c r="AH67" s="216"/>
    </row>
    <row r="68" spans="1:34" ht="13.9" customHeight="1" x14ac:dyDescent="0.2">
      <c r="A68" s="236"/>
      <c r="B68" s="216"/>
      <c r="C68" s="216"/>
      <c r="D68" s="216"/>
      <c r="E68" s="216"/>
      <c r="F68" s="216"/>
      <c r="G68" s="216"/>
      <c r="H68" s="216"/>
      <c r="I68" s="216"/>
      <c r="J68" s="216"/>
      <c r="K68" s="216"/>
      <c r="L68" s="216"/>
      <c r="M68" s="216"/>
      <c r="N68" s="237"/>
      <c r="O68" s="216"/>
      <c r="P68" s="216"/>
      <c r="Q68" s="216"/>
      <c r="R68" s="216"/>
      <c r="S68" s="216"/>
      <c r="T68" s="216"/>
      <c r="U68" s="216"/>
      <c r="V68" s="216"/>
      <c r="W68" s="216"/>
      <c r="X68" s="216"/>
      <c r="Y68" s="216"/>
      <c r="Z68" s="216"/>
      <c r="AA68" s="216"/>
      <c r="AB68" s="216"/>
      <c r="AC68" s="216"/>
      <c r="AD68" s="216"/>
      <c r="AE68" s="216"/>
      <c r="AF68" s="216"/>
      <c r="AG68" s="216"/>
      <c r="AH68" s="216"/>
    </row>
    <row r="69" spans="1:34" ht="13.9" customHeight="1" x14ac:dyDescent="0.2">
      <c r="A69" s="236"/>
      <c r="B69" s="216"/>
      <c r="C69" s="216"/>
      <c r="D69" s="216"/>
      <c r="E69" s="216"/>
      <c r="F69" s="216"/>
      <c r="G69" s="216"/>
      <c r="H69" s="216"/>
      <c r="I69" s="216"/>
      <c r="J69" s="216"/>
      <c r="K69" s="216"/>
      <c r="L69" s="216"/>
      <c r="M69" s="216"/>
      <c r="N69" s="237"/>
      <c r="O69" s="216"/>
      <c r="P69" s="216"/>
      <c r="Q69" s="216"/>
      <c r="R69" s="216"/>
      <c r="S69" s="216"/>
      <c r="T69" s="216"/>
      <c r="U69" s="216"/>
      <c r="V69" s="216"/>
      <c r="W69" s="216"/>
      <c r="X69" s="216"/>
      <c r="Y69" s="216"/>
      <c r="Z69" s="216"/>
      <c r="AA69" s="216"/>
      <c r="AB69" s="216"/>
      <c r="AC69" s="216"/>
      <c r="AD69" s="216"/>
      <c r="AE69" s="216"/>
      <c r="AF69" s="216"/>
      <c r="AG69" s="216"/>
      <c r="AH69" s="216"/>
    </row>
    <row r="70" spans="1:34" ht="13.9" customHeight="1" x14ac:dyDescent="0.2">
      <c r="A70" s="236"/>
      <c r="C70" s="624" t="s">
        <v>135</v>
      </c>
      <c r="D70" s="624"/>
      <c r="E70" s="624"/>
      <c r="F70" s="624"/>
      <c r="G70" s="641" t="s">
        <v>136</v>
      </c>
      <c r="H70" s="641"/>
      <c r="I70" s="641"/>
      <c r="J70" s="641"/>
      <c r="K70" s="641" t="s">
        <v>136</v>
      </c>
      <c r="L70" s="641"/>
      <c r="M70" s="641"/>
      <c r="N70" s="237"/>
      <c r="O70" s="216"/>
      <c r="P70" s="216"/>
      <c r="Q70" s="216"/>
      <c r="R70" s="216"/>
      <c r="S70" s="216"/>
      <c r="T70" s="216"/>
      <c r="U70" s="216"/>
      <c r="V70" s="216"/>
      <c r="W70" s="216"/>
      <c r="X70" s="216"/>
      <c r="Y70" s="216"/>
      <c r="Z70" s="216"/>
      <c r="AA70" s="216"/>
      <c r="AB70" s="216"/>
      <c r="AC70" s="216"/>
      <c r="AD70" s="216"/>
      <c r="AE70" s="216"/>
      <c r="AF70" s="216"/>
      <c r="AG70" s="216"/>
      <c r="AH70" s="216"/>
    </row>
    <row r="71" spans="1:34" ht="13.9" customHeight="1" x14ac:dyDescent="0.2">
      <c r="A71" s="236"/>
      <c r="C71" s="622" t="s">
        <v>137</v>
      </c>
      <c r="D71" s="622"/>
      <c r="E71" s="622"/>
      <c r="F71" s="622"/>
      <c r="G71" s="625" t="s">
        <v>138</v>
      </c>
      <c r="H71" s="625"/>
      <c r="I71" s="625"/>
      <c r="J71" s="625"/>
      <c r="K71" s="622" t="s">
        <v>139</v>
      </c>
      <c r="L71" s="622"/>
      <c r="M71" s="622"/>
      <c r="N71" s="237"/>
      <c r="O71" s="216"/>
      <c r="P71" s="216"/>
      <c r="Q71" s="216"/>
      <c r="R71" s="216"/>
      <c r="S71" s="216"/>
      <c r="T71" s="216"/>
      <c r="U71" s="216"/>
      <c r="V71" s="216"/>
      <c r="W71" s="216"/>
      <c r="X71" s="216"/>
      <c r="Y71" s="216"/>
      <c r="Z71" s="216"/>
      <c r="AA71" s="216"/>
      <c r="AB71" s="216"/>
      <c r="AC71" s="216"/>
      <c r="AD71" s="216"/>
      <c r="AE71" s="216"/>
      <c r="AF71" s="216"/>
      <c r="AG71" s="216"/>
      <c r="AH71" s="216"/>
    </row>
    <row r="72" spans="1:34" ht="13.9" customHeight="1" x14ac:dyDescent="0.2">
      <c r="A72" s="234"/>
      <c r="B72" s="284"/>
      <c r="C72" s="623" t="s">
        <v>140</v>
      </c>
      <c r="D72" s="623"/>
      <c r="E72" s="623"/>
      <c r="F72" s="623"/>
      <c r="G72" s="623" t="s">
        <v>141</v>
      </c>
      <c r="H72" s="623"/>
      <c r="I72" s="623"/>
      <c r="J72" s="623"/>
      <c r="K72" s="621" t="str">
        <f>B3</f>
        <v>CONSTRUTORA SANCARLOS LTDA</v>
      </c>
      <c r="L72" s="621"/>
      <c r="M72" s="621"/>
      <c r="N72" s="238"/>
      <c r="O72" s="216"/>
      <c r="P72" s="216"/>
      <c r="Q72" s="216"/>
      <c r="R72" s="216"/>
      <c r="S72" s="216"/>
      <c r="T72" s="216"/>
      <c r="U72" s="216"/>
      <c r="V72" s="216"/>
      <c r="W72" s="216"/>
      <c r="X72" s="216"/>
      <c r="Y72" s="216"/>
      <c r="Z72" s="216"/>
      <c r="AA72" s="216"/>
      <c r="AB72" s="216"/>
      <c r="AC72" s="216"/>
      <c r="AD72" s="216"/>
      <c r="AE72" s="216"/>
      <c r="AF72" s="216"/>
      <c r="AG72" s="216"/>
      <c r="AH72" s="216"/>
    </row>
    <row r="73" spans="1:34" ht="13.9" customHeight="1" x14ac:dyDescent="0.2">
      <c r="A73" s="216"/>
      <c r="B73" s="216"/>
      <c r="C73" s="216"/>
      <c r="D73" s="216"/>
      <c r="E73" s="216"/>
      <c r="F73" s="216"/>
      <c r="G73" s="216"/>
      <c r="H73" s="240" t="e">
        <f>K65/F65</f>
        <v>#REF!</v>
      </c>
      <c r="I73" s="240" t="e">
        <f>N65/F65</f>
        <v>#REF!</v>
      </c>
      <c r="J73" s="239"/>
      <c r="K73" s="282" t="e">
        <f>'BM 01'!I66</f>
        <v>#REF!</v>
      </c>
      <c r="L73" s="349" t="s">
        <v>186</v>
      </c>
      <c r="O73" s="216"/>
      <c r="P73" s="216"/>
      <c r="Q73" s="216"/>
      <c r="R73" s="216"/>
      <c r="S73" s="216"/>
      <c r="T73" s="216"/>
      <c r="U73" s="216"/>
      <c r="V73" s="216"/>
      <c r="W73" s="216"/>
      <c r="X73" s="216"/>
      <c r="Y73" s="216"/>
      <c r="Z73" s="216"/>
      <c r="AA73" s="216"/>
      <c r="AB73" s="216"/>
      <c r="AC73" s="216"/>
      <c r="AD73" s="216"/>
      <c r="AE73" s="216"/>
      <c r="AF73" s="216"/>
      <c r="AG73" s="216"/>
      <c r="AH73" s="216"/>
    </row>
    <row r="74" spans="1:34" x14ac:dyDescent="0.2">
      <c r="A74" s="216"/>
      <c r="B74" s="216"/>
      <c r="C74" s="216"/>
      <c r="D74" s="216"/>
      <c r="E74" s="216"/>
      <c r="F74" s="216"/>
      <c r="G74" s="216"/>
      <c r="H74" s="241">
        <v>1</v>
      </c>
      <c r="I74" s="239"/>
      <c r="L74" s="216"/>
      <c r="O74" s="216"/>
      <c r="P74" s="216"/>
      <c r="Q74" s="216"/>
      <c r="R74" s="216"/>
      <c r="S74" s="216"/>
      <c r="T74" s="216"/>
      <c r="U74" s="216"/>
      <c r="V74" s="216"/>
      <c r="W74" s="216"/>
      <c r="X74" s="216"/>
      <c r="Y74" s="216"/>
      <c r="Z74" s="216"/>
      <c r="AA74" s="216"/>
      <c r="AB74" s="216"/>
      <c r="AC74" s="216"/>
      <c r="AD74" s="216"/>
      <c r="AE74" s="216"/>
      <c r="AF74" s="216"/>
      <c r="AG74" s="216"/>
      <c r="AH74" s="216"/>
    </row>
    <row r="75" spans="1:34" x14ac:dyDescent="0.2">
      <c r="A75" s="216"/>
      <c r="B75" s="216"/>
      <c r="C75" s="216"/>
      <c r="D75" s="216"/>
      <c r="E75" s="216"/>
      <c r="F75" s="216"/>
      <c r="G75" s="216"/>
      <c r="H75" s="216"/>
      <c r="I75" s="216"/>
      <c r="L75" s="216"/>
      <c r="O75" s="216"/>
      <c r="P75" s="216"/>
      <c r="Q75" s="216"/>
      <c r="R75" s="216"/>
      <c r="S75" s="216"/>
      <c r="T75" s="216"/>
      <c r="U75" s="216"/>
      <c r="V75" s="216"/>
      <c r="W75" s="216"/>
      <c r="X75" s="216"/>
      <c r="Y75" s="216"/>
      <c r="Z75" s="216"/>
      <c r="AA75" s="216"/>
      <c r="AB75" s="216"/>
      <c r="AC75" s="216"/>
      <c r="AD75" s="216"/>
      <c r="AE75" s="216"/>
      <c r="AF75" s="216"/>
      <c r="AG75" s="216"/>
      <c r="AH75" s="216"/>
    </row>
    <row r="76" spans="1:34" x14ac:dyDescent="0.2">
      <c r="A76" s="216"/>
      <c r="B76" s="216"/>
      <c r="C76" s="216"/>
      <c r="D76" s="216"/>
      <c r="E76" s="216"/>
      <c r="F76" s="216"/>
      <c r="G76" s="216"/>
      <c r="H76" s="216"/>
      <c r="I76" s="216"/>
      <c r="J76" s="216"/>
      <c r="K76" s="216"/>
      <c r="L76" s="216"/>
      <c r="M76" s="216"/>
      <c r="N76" s="216"/>
      <c r="O76" s="216"/>
      <c r="P76" s="216"/>
      <c r="Q76" s="216"/>
      <c r="R76" s="216"/>
      <c r="S76" s="216"/>
      <c r="T76" s="216"/>
      <c r="U76" s="216"/>
      <c r="V76" s="216"/>
      <c r="W76" s="216"/>
      <c r="X76" s="216"/>
      <c r="Y76" s="216"/>
      <c r="Z76" s="216"/>
      <c r="AA76" s="216"/>
      <c r="AB76" s="216"/>
      <c r="AC76" s="216"/>
      <c r="AD76" s="216"/>
      <c r="AE76" s="216"/>
      <c r="AF76" s="216"/>
      <c r="AG76" s="216"/>
      <c r="AH76" s="216"/>
    </row>
    <row r="77" spans="1:34" x14ac:dyDescent="0.2">
      <c r="A77" s="216"/>
      <c r="B77" s="216"/>
      <c r="C77" s="216"/>
      <c r="D77" s="216"/>
      <c r="E77" s="216"/>
      <c r="F77" s="216"/>
      <c r="G77" s="216"/>
      <c r="H77" s="216"/>
      <c r="I77" s="216"/>
      <c r="J77" s="216"/>
      <c r="K77" s="216"/>
      <c r="L77" s="216"/>
      <c r="M77" s="216"/>
      <c r="N77" s="216"/>
      <c r="O77" s="216"/>
      <c r="P77" s="216"/>
      <c r="Q77" s="216"/>
      <c r="R77" s="216"/>
      <c r="S77" s="216"/>
      <c r="T77" s="216"/>
      <c r="U77" s="216"/>
      <c r="V77" s="216"/>
      <c r="W77" s="216"/>
      <c r="X77" s="216"/>
      <c r="Y77" s="216"/>
      <c r="Z77" s="216"/>
      <c r="AA77" s="216"/>
      <c r="AB77" s="216"/>
      <c r="AC77" s="216"/>
      <c r="AD77" s="216"/>
      <c r="AE77" s="216"/>
      <c r="AF77" s="216"/>
      <c r="AG77" s="216"/>
      <c r="AH77" s="216"/>
    </row>
    <row r="78" spans="1:34" x14ac:dyDescent="0.2">
      <c r="A78" s="216"/>
      <c r="B78" s="216"/>
      <c r="C78" s="216"/>
      <c r="D78" s="216"/>
      <c r="E78" s="216"/>
      <c r="F78" s="216"/>
      <c r="G78" s="216"/>
      <c r="H78" s="216"/>
      <c r="I78" s="216"/>
      <c r="J78" s="216"/>
      <c r="K78" s="216"/>
      <c r="L78" s="216"/>
      <c r="M78" s="216"/>
      <c r="N78" s="216"/>
      <c r="O78" s="216"/>
      <c r="P78" s="216"/>
      <c r="Q78" s="216"/>
      <c r="R78" s="216"/>
      <c r="S78" s="216"/>
      <c r="T78" s="216"/>
      <c r="U78" s="216"/>
      <c r="V78" s="216"/>
      <c r="W78" s="216"/>
      <c r="X78" s="216"/>
      <c r="Y78" s="216"/>
      <c r="Z78" s="216"/>
      <c r="AA78" s="216"/>
      <c r="AB78" s="216"/>
      <c r="AC78" s="216"/>
      <c r="AD78" s="216"/>
      <c r="AE78" s="216"/>
      <c r="AF78" s="216"/>
      <c r="AG78" s="216"/>
      <c r="AH78" s="216"/>
    </row>
  </sheetData>
  <mergeCells count="22">
    <mergeCell ref="A5:K5"/>
    <mergeCell ref="M5:N5"/>
    <mergeCell ref="A1:N1"/>
    <mergeCell ref="A2:K2"/>
    <mergeCell ref="M3:N3"/>
    <mergeCell ref="A4:K4"/>
    <mergeCell ref="M4:N4"/>
    <mergeCell ref="A6:G6"/>
    <mergeCell ref="H6:I6"/>
    <mergeCell ref="J6:K6"/>
    <mergeCell ref="A65:E65"/>
    <mergeCell ref="F66:G66"/>
    <mergeCell ref="I66:N66"/>
    <mergeCell ref="C72:F72"/>
    <mergeCell ref="G72:J72"/>
    <mergeCell ref="K72:M72"/>
    <mergeCell ref="C70:F70"/>
    <mergeCell ref="G70:J70"/>
    <mergeCell ref="K70:M70"/>
    <mergeCell ref="C71:F71"/>
    <mergeCell ref="G71:J71"/>
    <mergeCell ref="K71:M71"/>
  </mergeCells>
  <printOptions horizontalCentered="1"/>
  <pageMargins left="0.19685039370078741" right="0.19685039370078741" top="0.19685039370078741" bottom="0.19685039370078741" header="0" footer="0"/>
  <pageSetup paperSize="9" scale="56" fitToHeight="0" orientation="landscape" r:id="rId1"/>
  <headerFooter alignWithMargins="0">
    <oddFooter>Página &amp;P de &amp;N</oddFooter>
  </headerFooter>
  <ignoredErrors>
    <ignoredError sqref="N2" numberStoredAsText="1"/>
    <ignoredError xmlns:x16r3="http://schemas.microsoft.com/office/spreadsheetml/2018/08/main" sqref="M3" x16r3:misleadingFormat="1"/>
    <ignoredError sqref="M65" formula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9F7A8-DFDB-471A-871C-9A166BDB6388}">
  <sheetPr codeName="Planilha11"/>
  <dimension ref="A1:M55"/>
  <sheetViews>
    <sheetView showGridLines="0" showZeros="0" view="pageBreakPreview" zoomScale="90" zoomScaleNormal="100" zoomScaleSheetLayoutView="90" workbookViewId="0">
      <pane xSplit="12" ySplit="6" topLeftCell="M7" activePane="bottomRight" state="frozen"/>
      <selection pane="topRight" activeCell="M1" sqref="M1"/>
      <selection pane="bottomLeft" activeCell="A7" sqref="A7"/>
      <selection pane="bottomRight" activeCell="A7" sqref="A7:D21"/>
    </sheetView>
  </sheetViews>
  <sheetFormatPr defaultColWidth="9.140625" defaultRowHeight="12.75" x14ac:dyDescent="0.2"/>
  <cols>
    <col min="1" max="2" width="13.7109375" style="25" customWidth="1"/>
    <col min="3" max="5" width="13.7109375" style="26" customWidth="1"/>
    <col min="6" max="6" width="13.7109375" style="27" customWidth="1"/>
    <col min="7" max="7" width="13.7109375" style="28" customWidth="1"/>
    <col min="8" max="12" width="13.7109375" style="25" customWidth="1"/>
    <col min="13" max="13" width="4.7109375" style="25" customWidth="1"/>
    <col min="14" max="16384" width="9.140625" style="25"/>
  </cols>
  <sheetData>
    <row r="1" spans="1:13" s="23" customFormat="1" ht="54.6" customHeight="1" x14ac:dyDescent="0.2">
      <c r="A1" s="465"/>
      <c r="B1" s="466"/>
      <c r="C1" s="466"/>
      <c r="D1" s="466"/>
      <c r="E1" s="466"/>
      <c r="F1" s="466"/>
      <c r="G1" s="466"/>
      <c r="H1" s="466"/>
      <c r="I1" s="466"/>
      <c r="J1" s="466"/>
      <c r="K1" s="466"/>
      <c r="L1" s="467"/>
    </row>
    <row r="2" spans="1:13" s="23" customFormat="1" ht="13.9" customHeight="1" x14ac:dyDescent="0.2">
      <c r="A2" s="468" t="s">
        <v>142</v>
      </c>
      <c r="B2" s="469"/>
      <c r="C2" s="469"/>
      <c r="D2" s="469"/>
      <c r="E2" s="469"/>
      <c r="F2" s="469"/>
      <c r="G2" s="469"/>
      <c r="H2" s="469"/>
      <c r="I2" s="469"/>
      <c r="J2" s="469"/>
      <c r="K2" s="469"/>
      <c r="L2" s="470"/>
    </row>
    <row r="3" spans="1:13" s="24" customFormat="1" ht="13.9" customHeight="1" x14ac:dyDescent="0.2">
      <c r="A3" s="214" t="str">
        <f>'BM 01'!A3</f>
        <v xml:space="preserve">EMPRESA: </v>
      </c>
      <c r="B3" s="269" t="str">
        <f>'BM 01'!C3</f>
        <v>CONSTRUTORA SANCARLOS LTDA</v>
      </c>
      <c r="C3" s="275"/>
      <c r="D3" s="275"/>
      <c r="E3" s="275"/>
      <c r="F3" s="276"/>
      <c r="G3" s="269"/>
      <c r="H3" s="269"/>
      <c r="I3" s="269"/>
      <c r="J3" s="269"/>
      <c r="K3" s="365" t="str">
        <f>'BM 01'!M2</f>
        <v xml:space="preserve">BOLETIM n°: </v>
      </c>
      <c r="L3" s="286" t="str">
        <f>'BM 02'!N2</f>
        <v>02</v>
      </c>
    </row>
    <row r="4" spans="1:13" s="24" customFormat="1" ht="13.9" customHeight="1" x14ac:dyDescent="0.2">
      <c r="A4" s="214" t="str">
        <f>'BM 01'!A4</f>
        <v>OBRA: SERVIÇOS DE INFRAESTRUTURA</v>
      </c>
      <c r="B4" s="269"/>
      <c r="C4" s="277"/>
      <c r="D4" s="277"/>
      <c r="E4" s="277"/>
      <c r="F4" s="269"/>
      <c r="G4" s="270"/>
      <c r="H4" s="269"/>
      <c r="I4" s="269"/>
      <c r="J4" s="269"/>
      <c r="K4" s="365" t="str">
        <f>'BM 01'!M3</f>
        <v>DATA INICIAL:</v>
      </c>
      <c r="L4" s="279" cm="1">
        <f t="array" ref="L4:M4">'BM 01'!N4:O4</f>
        <v>46244</v>
      </c>
      <c r="M4" s="24">
        <v>0</v>
      </c>
    </row>
    <row r="5" spans="1:13" s="24" customFormat="1" ht="13.9" customHeight="1" x14ac:dyDescent="0.2">
      <c r="A5" s="214" t="str">
        <f>'BM 01'!A5</f>
        <v>LOCAL: ÁREAS PÚBLICAS MUNICIPAIS DE SANTA CRUZ DO ESCALVADO (MG)</v>
      </c>
      <c r="B5" s="278"/>
      <c r="C5" s="278"/>
      <c r="D5" s="278"/>
      <c r="E5" s="278"/>
      <c r="F5" s="278"/>
      <c r="G5" s="278"/>
      <c r="H5" s="278"/>
      <c r="I5" s="278"/>
      <c r="J5" s="278"/>
      <c r="K5" s="365" t="str">
        <f>'BM 01'!M4</f>
        <v>DATA FINAL:</v>
      </c>
      <c r="L5" s="279" cm="1">
        <f t="array" ref="L5:M5">'BM 01'!N5:O5</f>
        <v>0</v>
      </c>
      <c r="M5" s="24">
        <v>0</v>
      </c>
    </row>
    <row r="6" spans="1:13" s="24" customFormat="1" ht="13.9" customHeight="1" x14ac:dyDescent="0.2">
      <c r="A6" s="357" t="str">
        <f>'BM 01'!A6</f>
        <v xml:space="preserve">LICITAÇÃO: Processo Licitatório nº 115/2026 - Concorrência nº 028/2026 - Contrato nº 028/2026 </v>
      </c>
      <c r="B6" s="358"/>
      <c r="C6" s="359"/>
      <c r="D6" s="359"/>
      <c r="E6" s="359"/>
      <c r="F6" s="360"/>
      <c r="G6" s="358"/>
      <c r="H6" s="358"/>
      <c r="I6" s="358"/>
      <c r="J6" s="361"/>
      <c r="K6" s="366" t="str">
        <f>'BM 01'!M5</f>
        <v xml:space="preserve">DATA MEDIÇÃO: </v>
      </c>
      <c r="L6" s="362" cm="1">
        <f t="array" ref="L6:M6">'BM 02'!M5:N5</f>
        <v>0</v>
      </c>
      <c r="M6" s="24">
        <v>0</v>
      </c>
    </row>
    <row r="7" spans="1:13" ht="12" customHeight="1" x14ac:dyDescent="0.2">
      <c r="A7" s="471"/>
      <c r="B7" s="472"/>
      <c r="C7" s="472"/>
      <c r="D7" s="473"/>
      <c r="E7" s="471"/>
      <c r="F7" s="472"/>
      <c r="G7" s="472"/>
      <c r="H7" s="473"/>
      <c r="I7" s="471"/>
      <c r="J7" s="472"/>
      <c r="K7" s="472"/>
      <c r="L7" s="473"/>
    </row>
    <row r="8" spans="1:13" ht="12" customHeight="1" x14ac:dyDescent="0.2">
      <c r="A8" s="474"/>
      <c r="B8" s="475"/>
      <c r="C8" s="475"/>
      <c r="D8" s="476"/>
      <c r="E8" s="474"/>
      <c r="F8" s="475"/>
      <c r="G8" s="475"/>
      <c r="H8" s="476"/>
      <c r="I8" s="474"/>
      <c r="J8" s="475"/>
      <c r="K8" s="475"/>
      <c r="L8" s="476"/>
    </row>
    <row r="9" spans="1:13" ht="12" customHeight="1" x14ac:dyDescent="0.2">
      <c r="A9" s="474"/>
      <c r="B9" s="475"/>
      <c r="C9" s="475"/>
      <c r="D9" s="476"/>
      <c r="E9" s="474"/>
      <c r="F9" s="475"/>
      <c r="G9" s="475"/>
      <c r="H9" s="476"/>
      <c r="I9" s="474"/>
      <c r="J9" s="475"/>
      <c r="K9" s="475"/>
      <c r="L9" s="476"/>
    </row>
    <row r="10" spans="1:13" ht="12" customHeight="1" x14ac:dyDescent="0.2">
      <c r="A10" s="474"/>
      <c r="B10" s="475"/>
      <c r="C10" s="475"/>
      <c r="D10" s="476"/>
      <c r="E10" s="474"/>
      <c r="F10" s="475"/>
      <c r="G10" s="475"/>
      <c r="H10" s="476"/>
      <c r="I10" s="474"/>
      <c r="J10" s="475"/>
      <c r="K10" s="475"/>
      <c r="L10" s="476"/>
    </row>
    <row r="11" spans="1:13" ht="12" customHeight="1" x14ac:dyDescent="0.2">
      <c r="A11" s="474"/>
      <c r="B11" s="475"/>
      <c r="C11" s="475"/>
      <c r="D11" s="476"/>
      <c r="E11" s="474"/>
      <c r="F11" s="475"/>
      <c r="G11" s="475"/>
      <c r="H11" s="476"/>
      <c r="I11" s="474"/>
      <c r="J11" s="475"/>
      <c r="K11" s="475"/>
      <c r="L11" s="476"/>
    </row>
    <row r="12" spans="1:13" ht="12" customHeight="1" x14ac:dyDescent="0.2">
      <c r="A12" s="474"/>
      <c r="B12" s="475"/>
      <c r="C12" s="475"/>
      <c r="D12" s="476"/>
      <c r="E12" s="474"/>
      <c r="F12" s="475"/>
      <c r="G12" s="475"/>
      <c r="H12" s="476"/>
      <c r="I12" s="474"/>
      <c r="J12" s="475"/>
      <c r="K12" s="475"/>
      <c r="L12" s="476"/>
    </row>
    <row r="13" spans="1:13" ht="12" customHeight="1" x14ac:dyDescent="0.2">
      <c r="A13" s="474"/>
      <c r="B13" s="475"/>
      <c r="C13" s="475"/>
      <c r="D13" s="476"/>
      <c r="E13" s="474"/>
      <c r="F13" s="475"/>
      <c r="G13" s="475"/>
      <c r="H13" s="476"/>
      <c r="I13" s="474"/>
      <c r="J13" s="475"/>
      <c r="K13" s="475"/>
      <c r="L13" s="476"/>
    </row>
    <row r="14" spans="1:13" ht="12" customHeight="1" x14ac:dyDescent="0.2">
      <c r="A14" s="474"/>
      <c r="B14" s="475"/>
      <c r="C14" s="475"/>
      <c r="D14" s="476"/>
      <c r="E14" s="474"/>
      <c r="F14" s="475"/>
      <c r="G14" s="475"/>
      <c r="H14" s="476"/>
      <c r="I14" s="474"/>
      <c r="J14" s="475"/>
      <c r="K14" s="475"/>
      <c r="L14" s="476"/>
    </row>
    <row r="15" spans="1:13" ht="12" customHeight="1" x14ac:dyDescent="0.2">
      <c r="A15" s="474"/>
      <c r="B15" s="475"/>
      <c r="C15" s="475"/>
      <c r="D15" s="476"/>
      <c r="E15" s="474"/>
      <c r="F15" s="475"/>
      <c r="G15" s="475"/>
      <c r="H15" s="476"/>
      <c r="I15" s="474"/>
      <c r="J15" s="475"/>
      <c r="K15" s="475"/>
      <c r="L15" s="476"/>
    </row>
    <row r="16" spans="1:13" ht="12" customHeight="1" x14ac:dyDescent="0.2">
      <c r="A16" s="474"/>
      <c r="B16" s="475"/>
      <c r="C16" s="475"/>
      <c r="D16" s="476"/>
      <c r="E16" s="474"/>
      <c r="F16" s="475"/>
      <c r="G16" s="475"/>
      <c r="H16" s="476"/>
      <c r="I16" s="474"/>
      <c r="J16" s="475"/>
      <c r="K16" s="475"/>
      <c r="L16" s="476"/>
    </row>
    <row r="17" spans="1:12" ht="12" customHeight="1" x14ac:dyDescent="0.2">
      <c r="A17" s="474"/>
      <c r="B17" s="475"/>
      <c r="C17" s="475"/>
      <c r="D17" s="476"/>
      <c r="E17" s="474"/>
      <c r="F17" s="475"/>
      <c r="G17" s="475"/>
      <c r="H17" s="476"/>
      <c r="I17" s="474"/>
      <c r="J17" s="475"/>
      <c r="K17" s="475"/>
      <c r="L17" s="476"/>
    </row>
    <row r="18" spans="1:12" ht="12" customHeight="1" x14ac:dyDescent="0.2">
      <c r="A18" s="474"/>
      <c r="B18" s="475"/>
      <c r="C18" s="475"/>
      <c r="D18" s="476"/>
      <c r="E18" s="474"/>
      <c r="F18" s="475"/>
      <c r="G18" s="475"/>
      <c r="H18" s="476"/>
      <c r="I18" s="474"/>
      <c r="J18" s="475"/>
      <c r="K18" s="475"/>
      <c r="L18" s="476"/>
    </row>
    <row r="19" spans="1:12" ht="12" customHeight="1" x14ac:dyDescent="0.2">
      <c r="A19" s="474"/>
      <c r="B19" s="475"/>
      <c r="C19" s="475"/>
      <c r="D19" s="476"/>
      <c r="E19" s="474"/>
      <c r="F19" s="475"/>
      <c r="G19" s="475"/>
      <c r="H19" s="476"/>
      <c r="I19" s="474"/>
      <c r="J19" s="475"/>
      <c r="K19" s="475"/>
      <c r="L19" s="476"/>
    </row>
    <row r="20" spans="1:12" ht="12" customHeight="1" x14ac:dyDescent="0.2">
      <c r="A20" s="474"/>
      <c r="B20" s="475"/>
      <c r="C20" s="475"/>
      <c r="D20" s="476"/>
      <c r="E20" s="474"/>
      <c r="F20" s="475"/>
      <c r="G20" s="475"/>
      <c r="H20" s="476"/>
      <c r="I20" s="474"/>
      <c r="J20" s="475"/>
      <c r="K20" s="475"/>
      <c r="L20" s="476"/>
    </row>
    <row r="21" spans="1:12" ht="12" customHeight="1" x14ac:dyDescent="0.2">
      <c r="A21" s="477"/>
      <c r="B21" s="478"/>
      <c r="C21" s="478"/>
      <c r="D21" s="479"/>
      <c r="E21" s="477"/>
      <c r="F21" s="478"/>
      <c r="G21" s="478"/>
      <c r="H21" s="479"/>
      <c r="I21" s="477"/>
      <c r="J21" s="478"/>
      <c r="K21" s="478"/>
      <c r="L21" s="479"/>
    </row>
    <row r="22" spans="1:12" ht="12" customHeight="1" x14ac:dyDescent="0.2">
      <c r="A22" s="471"/>
      <c r="B22" s="472"/>
      <c r="C22" s="472"/>
      <c r="D22" s="473"/>
      <c r="E22" s="471"/>
      <c r="F22" s="472"/>
      <c r="G22" s="472"/>
      <c r="H22" s="473"/>
      <c r="I22" s="471"/>
      <c r="J22" s="472"/>
      <c r="K22" s="472"/>
      <c r="L22" s="473"/>
    </row>
    <row r="23" spans="1:12" ht="12" customHeight="1" x14ac:dyDescent="0.2">
      <c r="A23" s="474"/>
      <c r="B23" s="475"/>
      <c r="C23" s="475"/>
      <c r="D23" s="476"/>
      <c r="E23" s="474"/>
      <c r="F23" s="475"/>
      <c r="G23" s="475"/>
      <c r="H23" s="476"/>
      <c r="I23" s="474"/>
      <c r="J23" s="475"/>
      <c r="K23" s="475"/>
      <c r="L23" s="476"/>
    </row>
    <row r="24" spans="1:12" ht="12" customHeight="1" x14ac:dyDescent="0.2">
      <c r="A24" s="474"/>
      <c r="B24" s="475"/>
      <c r="C24" s="475"/>
      <c r="D24" s="476"/>
      <c r="E24" s="474"/>
      <c r="F24" s="475"/>
      <c r="G24" s="475"/>
      <c r="H24" s="476"/>
      <c r="I24" s="474"/>
      <c r="J24" s="475"/>
      <c r="K24" s="475"/>
      <c r="L24" s="476"/>
    </row>
    <row r="25" spans="1:12" ht="12" customHeight="1" x14ac:dyDescent="0.2">
      <c r="A25" s="474"/>
      <c r="B25" s="475"/>
      <c r="C25" s="475"/>
      <c r="D25" s="476"/>
      <c r="E25" s="474"/>
      <c r="F25" s="475"/>
      <c r="G25" s="475"/>
      <c r="H25" s="476"/>
      <c r="I25" s="474"/>
      <c r="J25" s="475"/>
      <c r="K25" s="475"/>
      <c r="L25" s="476"/>
    </row>
    <row r="26" spans="1:12" ht="12" customHeight="1" x14ac:dyDescent="0.2">
      <c r="A26" s="474"/>
      <c r="B26" s="475"/>
      <c r="C26" s="475"/>
      <c r="D26" s="476"/>
      <c r="E26" s="474"/>
      <c r="F26" s="475"/>
      <c r="G26" s="475"/>
      <c r="H26" s="476"/>
      <c r="I26" s="474"/>
      <c r="J26" s="475"/>
      <c r="K26" s="475"/>
      <c r="L26" s="476"/>
    </row>
    <row r="27" spans="1:12" ht="12" customHeight="1" x14ac:dyDescent="0.2">
      <c r="A27" s="474"/>
      <c r="B27" s="475"/>
      <c r="C27" s="475"/>
      <c r="D27" s="476"/>
      <c r="E27" s="474"/>
      <c r="F27" s="475"/>
      <c r="G27" s="475"/>
      <c r="H27" s="476"/>
      <c r="I27" s="474"/>
      <c r="J27" s="475"/>
      <c r="K27" s="475"/>
      <c r="L27" s="476"/>
    </row>
    <row r="28" spans="1:12" ht="12" customHeight="1" x14ac:dyDescent="0.2">
      <c r="A28" s="474"/>
      <c r="B28" s="475"/>
      <c r="C28" s="475"/>
      <c r="D28" s="476"/>
      <c r="E28" s="474"/>
      <c r="F28" s="475"/>
      <c r="G28" s="475"/>
      <c r="H28" s="476"/>
      <c r="I28" s="474"/>
      <c r="J28" s="475"/>
      <c r="K28" s="475"/>
      <c r="L28" s="476"/>
    </row>
    <row r="29" spans="1:12" ht="12" customHeight="1" x14ac:dyDescent="0.2">
      <c r="A29" s="474"/>
      <c r="B29" s="475"/>
      <c r="C29" s="475"/>
      <c r="D29" s="476"/>
      <c r="E29" s="474"/>
      <c r="F29" s="475"/>
      <c r="G29" s="475"/>
      <c r="H29" s="476"/>
      <c r="I29" s="474"/>
      <c r="J29" s="475"/>
      <c r="K29" s="475"/>
      <c r="L29" s="476"/>
    </row>
    <row r="30" spans="1:12" ht="12" customHeight="1" x14ac:dyDescent="0.2">
      <c r="A30" s="474"/>
      <c r="B30" s="475"/>
      <c r="C30" s="475"/>
      <c r="D30" s="476"/>
      <c r="E30" s="474"/>
      <c r="F30" s="475"/>
      <c r="G30" s="475"/>
      <c r="H30" s="476"/>
      <c r="I30" s="474"/>
      <c r="J30" s="475"/>
      <c r="K30" s="475"/>
      <c r="L30" s="476"/>
    </row>
    <row r="31" spans="1:12" ht="12" customHeight="1" x14ac:dyDescent="0.2">
      <c r="A31" s="474"/>
      <c r="B31" s="475"/>
      <c r="C31" s="475"/>
      <c r="D31" s="476"/>
      <c r="E31" s="474"/>
      <c r="F31" s="475"/>
      <c r="G31" s="475"/>
      <c r="H31" s="476"/>
      <c r="I31" s="474"/>
      <c r="J31" s="475"/>
      <c r="K31" s="475"/>
      <c r="L31" s="476"/>
    </row>
    <row r="32" spans="1:12" ht="12" customHeight="1" x14ac:dyDescent="0.2">
      <c r="A32" s="474"/>
      <c r="B32" s="475"/>
      <c r="C32" s="475"/>
      <c r="D32" s="476"/>
      <c r="E32" s="474"/>
      <c r="F32" s="475"/>
      <c r="G32" s="475"/>
      <c r="H32" s="476"/>
      <c r="I32" s="474"/>
      <c r="J32" s="475"/>
      <c r="K32" s="475"/>
      <c r="L32" s="476"/>
    </row>
    <row r="33" spans="1:12" ht="12" customHeight="1" x14ac:dyDescent="0.2">
      <c r="A33" s="474"/>
      <c r="B33" s="475"/>
      <c r="C33" s="475"/>
      <c r="D33" s="476"/>
      <c r="E33" s="474"/>
      <c r="F33" s="475"/>
      <c r="G33" s="475"/>
      <c r="H33" s="476"/>
      <c r="I33" s="474"/>
      <c r="J33" s="475"/>
      <c r="K33" s="475"/>
      <c r="L33" s="476"/>
    </row>
    <row r="34" spans="1:12" ht="12" customHeight="1" x14ac:dyDescent="0.2">
      <c r="A34" s="474"/>
      <c r="B34" s="475"/>
      <c r="C34" s="475"/>
      <c r="D34" s="476"/>
      <c r="E34" s="474"/>
      <c r="F34" s="475"/>
      <c r="G34" s="475"/>
      <c r="H34" s="476"/>
      <c r="I34" s="474"/>
      <c r="J34" s="475"/>
      <c r="K34" s="475"/>
      <c r="L34" s="476"/>
    </row>
    <row r="35" spans="1:12" ht="12" customHeight="1" x14ac:dyDescent="0.2">
      <c r="A35" s="474"/>
      <c r="B35" s="475"/>
      <c r="C35" s="475"/>
      <c r="D35" s="476"/>
      <c r="E35" s="474"/>
      <c r="F35" s="475"/>
      <c r="G35" s="475"/>
      <c r="H35" s="476"/>
      <c r="I35" s="474"/>
      <c r="J35" s="475"/>
      <c r="K35" s="475"/>
      <c r="L35" s="476"/>
    </row>
    <row r="36" spans="1:12" ht="12" customHeight="1" x14ac:dyDescent="0.2">
      <c r="A36" s="477"/>
      <c r="B36" s="478"/>
      <c r="C36" s="478"/>
      <c r="D36" s="479"/>
      <c r="E36" s="477"/>
      <c r="F36" s="478"/>
      <c r="G36" s="478"/>
      <c r="H36" s="479"/>
      <c r="I36" s="477"/>
      <c r="J36" s="478"/>
      <c r="K36" s="478"/>
      <c r="L36" s="479"/>
    </row>
    <row r="37" spans="1:12" ht="12" customHeight="1" x14ac:dyDescent="0.2">
      <c r="A37" s="471"/>
      <c r="B37" s="472"/>
      <c r="C37" s="472"/>
      <c r="D37" s="473"/>
      <c r="E37" s="471"/>
      <c r="F37" s="472"/>
      <c r="G37" s="472"/>
      <c r="H37" s="473"/>
      <c r="I37" s="471"/>
      <c r="J37" s="472"/>
      <c r="K37" s="472"/>
      <c r="L37" s="473"/>
    </row>
    <row r="38" spans="1:12" ht="12" customHeight="1" x14ac:dyDescent="0.2">
      <c r="A38" s="474"/>
      <c r="B38" s="475"/>
      <c r="C38" s="475"/>
      <c r="D38" s="476"/>
      <c r="E38" s="474"/>
      <c r="F38" s="475"/>
      <c r="G38" s="475"/>
      <c r="H38" s="476"/>
      <c r="I38" s="474"/>
      <c r="J38" s="475"/>
      <c r="K38" s="475"/>
      <c r="L38" s="476"/>
    </row>
    <row r="39" spans="1:12" ht="12" customHeight="1" x14ac:dyDescent="0.2">
      <c r="A39" s="474"/>
      <c r="B39" s="475"/>
      <c r="C39" s="475"/>
      <c r="D39" s="476"/>
      <c r="E39" s="474"/>
      <c r="F39" s="475"/>
      <c r="G39" s="475"/>
      <c r="H39" s="476"/>
      <c r="I39" s="474"/>
      <c r="J39" s="475"/>
      <c r="K39" s="475"/>
      <c r="L39" s="476"/>
    </row>
    <row r="40" spans="1:12" ht="12" customHeight="1" x14ac:dyDescent="0.2">
      <c r="A40" s="474"/>
      <c r="B40" s="475"/>
      <c r="C40" s="475"/>
      <c r="D40" s="476"/>
      <c r="E40" s="474"/>
      <c r="F40" s="475"/>
      <c r="G40" s="475"/>
      <c r="H40" s="476"/>
      <c r="I40" s="474"/>
      <c r="J40" s="475"/>
      <c r="K40" s="475"/>
      <c r="L40" s="476"/>
    </row>
    <row r="41" spans="1:12" ht="12" customHeight="1" x14ac:dyDescent="0.2">
      <c r="A41" s="474"/>
      <c r="B41" s="475"/>
      <c r="C41" s="475"/>
      <c r="D41" s="476"/>
      <c r="E41" s="474"/>
      <c r="F41" s="475"/>
      <c r="G41" s="475"/>
      <c r="H41" s="476"/>
      <c r="I41" s="474"/>
      <c r="J41" s="475"/>
      <c r="K41" s="475"/>
      <c r="L41" s="476"/>
    </row>
    <row r="42" spans="1:12" ht="12" customHeight="1" x14ac:dyDescent="0.2">
      <c r="A42" s="474"/>
      <c r="B42" s="475"/>
      <c r="C42" s="475"/>
      <c r="D42" s="476"/>
      <c r="E42" s="474"/>
      <c r="F42" s="475"/>
      <c r="G42" s="475"/>
      <c r="H42" s="476"/>
      <c r="I42" s="474"/>
      <c r="J42" s="475"/>
      <c r="K42" s="475"/>
      <c r="L42" s="476"/>
    </row>
    <row r="43" spans="1:12" ht="12" customHeight="1" x14ac:dyDescent="0.2">
      <c r="A43" s="474"/>
      <c r="B43" s="475"/>
      <c r="C43" s="475"/>
      <c r="D43" s="476"/>
      <c r="E43" s="474"/>
      <c r="F43" s="475"/>
      <c r="G43" s="475"/>
      <c r="H43" s="476"/>
      <c r="I43" s="474"/>
      <c r="J43" s="475"/>
      <c r="K43" s="475"/>
      <c r="L43" s="476"/>
    </row>
    <row r="44" spans="1:12" ht="12" customHeight="1" x14ac:dyDescent="0.2">
      <c r="A44" s="474"/>
      <c r="B44" s="475"/>
      <c r="C44" s="475"/>
      <c r="D44" s="476"/>
      <c r="E44" s="474"/>
      <c r="F44" s="475"/>
      <c r="G44" s="475"/>
      <c r="H44" s="476"/>
      <c r="I44" s="474"/>
      <c r="J44" s="475"/>
      <c r="K44" s="475"/>
      <c r="L44" s="476"/>
    </row>
    <row r="45" spans="1:12" ht="12" customHeight="1" x14ac:dyDescent="0.2">
      <c r="A45" s="474"/>
      <c r="B45" s="475"/>
      <c r="C45" s="475"/>
      <c r="D45" s="476"/>
      <c r="E45" s="474"/>
      <c r="F45" s="475"/>
      <c r="G45" s="475"/>
      <c r="H45" s="476"/>
      <c r="I45" s="474"/>
      <c r="J45" s="475"/>
      <c r="K45" s="475"/>
      <c r="L45" s="476"/>
    </row>
    <row r="46" spans="1:12" ht="12" customHeight="1" x14ac:dyDescent="0.2">
      <c r="A46" s="474"/>
      <c r="B46" s="475"/>
      <c r="C46" s="475"/>
      <c r="D46" s="476"/>
      <c r="E46" s="474"/>
      <c r="F46" s="475"/>
      <c r="G46" s="475"/>
      <c r="H46" s="476"/>
      <c r="I46" s="474"/>
      <c r="J46" s="475"/>
      <c r="K46" s="475"/>
      <c r="L46" s="476"/>
    </row>
    <row r="47" spans="1:12" ht="12" customHeight="1" x14ac:dyDescent="0.2">
      <c r="A47" s="474"/>
      <c r="B47" s="475"/>
      <c r="C47" s="475"/>
      <c r="D47" s="476"/>
      <c r="E47" s="474"/>
      <c r="F47" s="475"/>
      <c r="G47" s="475"/>
      <c r="H47" s="476"/>
      <c r="I47" s="474"/>
      <c r="J47" s="475"/>
      <c r="K47" s="475"/>
      <c r="L47" s="476"/>
    </row>
    <row r="48" spans="1:12" ht="12" customHeight="1" x14ac:dyDescent="0.2">
      <c r="A48" s="474"/>
      <c r="B48" s="475"/>
      <c r="C48" s="475"/>
      <c r="D48" s="476"/>
      <c r="E48" s="474"/>
      <c r="F48" s="475"/>
      <c r="G48" s="475"/>
      <c r="H48" s="476"/>
      <c r="I48" s="474"/>
      <c r="J48" s="475"/>
      <c r="K48" s="475"/>
      <c r="L48" s="476"/>
    </row>
    <row r="49" spans="1:12" ht="12" customHeight="1" x14ac:dyDescent="0.2">
      <c r="A49" s="474"/>
      <c r="B49" s="475"/>
      <c r="C49" s="475"/>
      <c r="D49" s="476"/>
      <c r="E49" s="474"/>
      <c r="F49" s="475"/>
      <c r="G49" s="475"/>
      <c r="H49" s="476"/>
      <c r="I49" s="474"/>
      <c r="J49" s="475"/>
      <c r="K49" s="475"/>
      <c r="L49" s="476"/>
    </row>
    <row r="50" spans="1:12" ht="12" customHeight="1" x14ac:dyDescent="0.2">
      <c r="A50" s="474"/>
      <c r="B50" s="475"/>
      <c r="C50" s="475"/>
      <c r="D50" s="476"/>
      <c r="E50" s="474"/>
      <c r="F50" s="475"/>
      <c r="G50" s="475"/>
      <c r="H50" s="476"/>
      <c r="I50" s="474"/>
      <c r="J50" s="475"/>
      <c r="K50" s="475"/>
      <c r="L50" s="476"/>
    </row>
    <row r="51" spans="1:12" ht="12" customHeight="1" x14ac:dyDescent="0.2">
      <c r="A51" s="477"/>
      <c r="B51" s="478"/>
      <c r="C51" s="478"/>
      <c r="D51" s="479"/>
      <c r="E51" s="477"/>
      <c r="F51" s="478"/>
      <c r="G51" s="478"/>
      <c r="H51" s="479"/>
      <c r="I51" s="477"/>
      <c r="J51" s="478"/>
      <c r="K51" s="478"/>
      <c r="L51" s="479"/>
    </row>
    <row r="52" spans="1:12" ht="12" customHeight="1" x14ac:dyDescent="0.2">
      <c r="A52" s="271"/>
      <c r="B52" s="363"/>
      <c r="C52" s="363"/>
      <c r="D52" s="363"/>
      <c r="E52" s="363"/>
      <c r="F52" s="363"/>
      <c r="G52" s="363"/>
      <c r="H52" s="364"/>
      <c r="I52" s="364"/>
      <c r="J52" s="364"/>
      <c r="K52" s="364"/>
      <c r="L52" s="272"/>
    </row>
    <row r="53" spans="1:12" s="24" customFormat="1" ht="12" customHeight="1" x14ac:dyDescent="0.2">
      <c r="A53" s="188"/>
      <c r="B53" s="624" t="s">
        <v>135</v>
      </c>
      <c r="C53" s="624"/>
      <c r="D53" s="624"/>
      <c r="E53" s="624"/>
      <c r="F53" s="624"/>
      <c r="G53" s="624"/>
      <c r="H53" s="191"/>
      <c r="I53" s="191"/>
      <c r="J53" s="189"/>
      <c r="K53" s="190"/>
      <c r="L53" s="280"/>
    </row>
    <row r="54" spans="1:12" s="24" customFormat="1" ht="12" customHeight="1" x14ac:dyDescent="0.2">
      <c r="A54" s="188"/>
      <c r="B54" s="622" t="s">
        <v>137</v>
      </c>
      <c r="C54" s="622"/>
      <c r="D54" s="622"/>
      <c r="E54" s="622"/>
      <c r="F54" s="622"/>
      <c r="G54" s="622"/>
      <c r="H54" s="191"/>
      <c r="I54" s="191"/>
      <c r="J54" s="189"/>
      <c r="K54" s="192"/>
      <c r="L54" s="280"/>
    </row>
    <row r="55" spans="1:12" s="24" customFormat="1" ht="12" customHeight="1" x14ac:dyDescent="0.2">
      <c r="A55" s="193"/>
      <c r="B55" s="623" t="s">
        <v>140</v>
      </c>
      <c r="C55" s="623"/>
      <c r="D55" s="623"/>
      <c r="E55" s="623"/>
      <c r="F55" s="623"/>
      <c r="G55" s="623"/>
      <c r="H55" s="274"/>
      <c r="I55" s="274"/>
      <c r="J55" s="194"/>
      <c r="K55" s="195"/>
      <c r="L55" s="281"/>
    </row>
  </sheetData>
  <mergeCells count="14">
    <mergeCell ref="B55:G55"/>
    <mergeCell ref="A1:L1"/>
    <mergeCell ref="A2:L2"/>
    <mergeCell ref="A7:D21"/>
    <mergeCell ref="E7:H21"/>
    <mergeCell ref="I7:L21"/>
    <mergeCell ref="A22:D36"/>
    <mergeCell ref="E22:H36"/>
    <mergeCell ref="I22:L36"/>
    <mergeCell ref="A37:D51"/>
    <mergeCell ref="E37:H51"/>
    <mergeCell ref="I37:L51"/>
    <mergeCell ref="B53:G53"/>
    <mergeCell ref="B54:G54"/>
  </mergeCells>
  <printOptions horizontalCentered="1"/>
  <pageMargins left="0.19685039370078741" right="0.19685039370078741" top="0.19685039370078741" bottom="0.19685039370078741" header="0" footer="0"/>
  <pageSetup paperSize="9" scale="80" orientation="landscape" horizontalDpi="400" verticalDpi="400" r:id="rId1"/>
  <headerFooter alignWithMargins="0">
    <oddFooter>&amp;CFolha &amp;P de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81" r:id="rId4" name="Button 1">
              <controlPr defaultSize="0" print="0" autoFill="0" autoPict="0" macro="[0]!ImportarFoto">
                <anchor moveWithCells="1">
                  <from>
                    <xdr:col>0</xdr:col>
                    <xdr:colOff>409575</xdr:colOff>
                    <xdr:row>52</xdr:row>
                    <xdr:rowOff>57150</xdr:rowOff>
                  </from>
                  <to>
                    <xdr:col>1</xdr:col>
                    <xdr:colOff>533400</xdr:colOff>
                    <xdr:row>54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18948-7CE1-45DF-9329-A5C6DEEE3F0C}">
  <sheetPr codeName="Planilha9"/>
  <dimension ref="A1:N66"/>
  <sheetViews>
    <sheetView showZeros="0" view="pageBreakPreview" zoomScaleNormal="100" zoomScaleSheetLayoutView="100" workbookViewId="0">
      <pane ySplit="7" topLeftCell="A8" activePane="bottomLeft" state="frozen"/>
      <selection pane="bottomLeft" activeCell="B13" sqref="B13"/>
    </sheetView>
  </sheetViews>
  <sheetFormatPr defaultColWidth="9.140625" defaultRowHeight="12.75" x14ac:dyDescent="0.2"/>
  <cols>
    <col min="1" max="1" width="7.140625" style="245" customWidth="1"/>
    <col min="2" max="2" width="88.7109375" style="245" customWidth="1"/>
    <col min="3" max="3" width="7.42578125" style="246" customWidth="1"/>
    <col min="4" max="4" width="9.7109375" style="247" customWidth="1"/>
    <col min="5" max="5" width="9.7109375" style="248" customWidth="1"/>
    <col min="6" max="6" width="11.7109375" style="245" customWidth="1"/>
    <col min="7" max="8" width="9.7109375" style="245" customWidth="1"/>
    <col min="9" max="10" width="11.7109375" style="245" customWidth="1"/>
    <col min="11" max="11" width="12.28515625" style="245" customWidth="1"/>
    <col min="12" max="12" width="13.28515625" style="245" customWidth="1"/>
    <col min="13" max="13" width="11.85546875" style="245" bestFit="1" customWidth="1"/>
    <col min="14" max="14" width="11.42578125" style="245" bestFit="1" customWidth="1"/>
    <col min="15" max="15" width="9.140625" style="245"/>
    <col min="16" max="16" width="11.85546875" style="245" bestFit="1" customWidth="1"/>
    <col min="17" max="16384" width="9.140625" style="245"/>
  </cols>
  <sheetData>
    <row r="1" spans="1:14" s="243" customFormat="1" ht="54.6" customHeight="1" x14ac:dyDescent="0.2">
      <c r="A1" s="242"/>
      <c r="B1" s="658"/>
      <c r="C1" s="658"/>
      <c r="D1" s="658"/>
      <c r="E1" s="658"/>
      <c r="F1" s="658"/>
      <c r="G1" s="658"/>
      <c r="H1" s="658"/>
      <c r="I1" s="658"/>
      <c r="J1" s="658"/>
    </row>
    <row r="2" spans="1:14" s="243" customFormat="1" ht="15" customHeight="1" x14ac:dyDescent="0.2">
      <c r="A2" s="660" t="s">
        <v>146</v>
      </c>
      <c r="B2" s="660"/>
      <c r="C2" s="660"/>
      <c r="D2" s="660"/>
      <c r="E2" s="660"/>
      <c r="F2" s="660"/>
      <c r="G2" s="660"/>
      <c r="H2" s="659" t="s">
        <v>180</v>
      </c>
      <c r="I2" s="659"/>
      <c r="J2" s="268" t="e">
        <f>F45</f>
        <v>#REF!</v>
      </c>
      <c r="K2" s="287"/>
      <c r="L2" s="287"/>
      <c r="M2" s="287"/>
      <c r="N2" s="287"/>
    </row>
    <row r="3" spans="1:14" s="244" customFormat="1" ht="15" customHeight="1" x14ac:dyDescent="0.2">
      <c r="A3" s="214" t="str">
        <f>'BM 01'!A3</f>
        <v xml:space="preserve">EMPRESA: </v>
      </c>
      <c r="B3" s="269" t="str">
        <f>'BM 01'!C3</f>
        <v>CONSTRUTORA SANCARLOS LTDA</v>
      </c>
      <c r="C3" s="269"/>
      <c r="D3" s="269"/>
      <c r="E3" s="269"/>
      <c r="F3" s="269"/>
      <c r="G3" s="269"/>
      <c r="H3" s="659" t="s">
        <v>179</v>
      </c>
      <c r="I3" s="659"/>
      <c r="J3" s="268" t="e">
        <f>I45</f>
        <v>#REF!</v>
      </c>
      <c r="K3" s="288"/>
      <c r="L3" s="288"/>
      <c r="M3" s="288"/>
      <c r="N3" s="288"/>
    </row>
    <row r="4" spans="1:14" s="244" customFormat="1" ht="13.9" customHeight="1" x14ac:dyDescent="0.2">
      <c r="A4" s="653" t="str">
        <f>'BM 01'!A4</f>
        <v>OBRA: SERVIÇOS DE INFRAESTRUTURA</v>
      </c>
      <c r="B4" s="654"/>
      <c r="C4" s="654"/>
      <c r="D4" s="654"/>
      <c r="E4" s="654"/>
      <c r="F4" s="654"/>
      <c r="G4" s="654"/>
      <c r="H4" s="659" t="s">
        <v>181</v>
      </c>
      <c r="I4" s="659"/>
      <c r="J4" s="268" t="e">
        <f>J45</f>
        <v>#REF!</v>
      </c>
      <c r="K4" s="288"/>
      <c r="L4" s="288"/>
      <c r="M4" s="288"/>
      <c r="N4" s="288"/>
    </row>
    <row r="5" spans="1:14" s="244" customFormat="1" ht="13.9" customHeight="1" x14ac:dyDescent="0.2">
      <c r="A5" s="653" t="str">
        <f>'BM 01'!A5</f>
        <v>LOCAL: ÁREAS PÚBLICAS MUNICIPAIS DE SANTA CRUZ DO ESCALVADO (MG)</v>
      </c>
      <c r="B5" s="654"/>
      <c r="C5" s="654"/>
      <c r="D5" s="654"/>
      <c r="E5" s="654"/>
      <c r="F5" s="654"/>
      <c r="G5" s="654"/>
      <c r="H5" s="659" t="s">
        <v>182</v>
      </c>
      <c r="I5" s="659"/>
      <c r="J5" s="332" t="e">
        <f>J3/J2</f>
        <v>#REF!</v>
      </c>
      <c r="K5" s="288"/>
      <c r="L5" s="288"/>
      <c r="M5" s="288"/>
      <c r="N5" s="288"/>
    </row>
    <row r="6" spans="1:14" s="244" customFormat="1" ht="15" customHeight="1" x14ac:dyDescent="0.2">
      <c r="A6" s="629" t="str">
        <f>'BM 01'!A6</f>
        <v xml:space="preserve">LICITAÇÃO: Processo Licitatório nº 115/2026 - Concorrência nº 028/2026 - Contrato nº 028/2026 </v>
      </c>
      <c r="B6" s="630"/>
      <c r="C6" s="630"/>
      <c r="D6" s="630"/>
      <c r="E6" s="630"/>
      <c r="F6" s="630"/>
      <c r="G6" s="630"/>
      <c r="H6" s="482" t="s">
        <v>178</v>
      </c>
      <c r="I6" s="484"/>
      <c r="J6" s="337">
        <v>46244</v>
      </c>
      <c r="K6" s="288"/>
      <c r="L6" s="288"/>
      <c r="M6" s="288"/>
      <c r="N6" s="288"/>
    </row>
    <row r="7" spans="1:14" ht="28.9" customHeight="1" x14ac:dyDescent="0.2">
      <c r="A7" s="393" t="s">
        <v>0</v>
      </c>
      <c r="B7" s="393" t="s">
        <v>132</v>
      </c>
      <c r="C7" s="394" t="s">
        <v>13</v>
      </c>
      <c r="D7" s="395" t="s">
        <v>183</v>
      </c>
      <c r="E7" s="396" t="s">
        <v>176</v>
      </c>
      <c r="F7" s="397" t="s">
        <v>187</v>
      </c>
      <c r="G7" s="398" t="s">
        <v>184</v>
      </c>
      <c r="H7" s="398" t="s">
        <v>143</v>
      </c>
      <c r="I7" s="398" t="s">
        <v>177</v>
      </c>
      <c r="J7" s="398" t="s">
        <v>188</v>
      </c>
      <c r="K7" s="290"/>
      <c r="L7" s="290"/>
      <c r="M7" s="290"/>
      <c r="N7" s="290"/>
    </row>
    <row r="8" spans="1:14" ht="13.9" customHeight="1" x14ac:dyDescent="0.2">
      <c r="A8" s="296">
        <f>PLAN!A8</f>
        <v>1</v>
      </c>
      <c r="B8" s="299" t="str">
        <f>PLAN!C8</f>
        <v>ADMINISTRAÇÃO LOCAL</v>
      </c>
      <c r="C8" s="296">
        <f>PLAN!D8</f>
        <v>0</v>
      </c>
      <c r="D8" s="121">
        <f>PLAN!E8</f>
        <v>0</v>
      </c>
      <c r="E8" s="121">
        <f>'BM 01'!F8</f>
        <v>0</v>
      </c>
      <c r="F8" s="121">
        <f>'BM 01'!G8</f>
        <v>0</v>
      </c>
      <c r="G8" s="297"/>
      <c r="H8" s="301">
        <f>D8+G8</f>
        <v>0</v>
      </c>
      <c r="I8" s="301">
        <f>ROUND(G8*E8,2)</f>
        <v>0</v>
      </c>
      <c r="J8" s="301">
        <f>ROUND(F8+G8*E8,2)</f>
        <v>0</v>
      </c>
      <c r="K8" s="298"/>
      <c r="L8" s="298"/>
      <c r="M8" s="298"/>
      <c r="N8" s="298"/>
    </row>
    <row r="9" spans="1:14" ht="13.9" customHeight="1" x14ac:dyDescent="0.2">
      <c r="A9" s="296" t="str">
        <f>PLAN!A9</f>
        <v xml:space="preserve"> 1.1 </v>
      </c>
      <c r="B9" s="299" t="str">
        <f>PLAN!C9</f>
        <v>ENCARREGADO GERAL DE OBRAS COM ENCARGOS COMPLEMENTARES</v>
      </c>
      <c r="C9" s="296" t="str">
        <f>PLAN!D9</f>
        <v>MÊS</v>
      </c>
      <c r="D9" s="121">
        <f>PLAN!E9</f>
        <v>2.1800000000000002</v>
      </c>
      <c r="E9" s="121">
        <f>'BM 01'!F9</f>
        <v>12293.01</v>
      </c>
      <c r="F9" s="121">
        <f>'BM 01'!G9</f>
        <v>26798.76</v>
      </c>
      <c r="G9" s="301"/>
      <c r="H9" s="301">
        <f>D9+G9</f>
        <v>2.1800000000000002</v>
      </c>
      <c r="I9" s="301">
        <f>ROUND(G9*E9,2)</f>
        <v>0</v>
      </c>
      <c r="J9" s="301">
        <f>ROUND(F9+G9*E9,2)</f>
        <v>26798.76</v>
      </c>
      <c r="K9" s="298"/>
      <c r="L9" s="298"/>
      <c r="M9" s="298"/>
      <c r="N9" s="298"/>
    </row>
    <row r="10" spans="1:14" ht="13.9" customHeight="1" x14ac:dyDescent="0.2">
      <c r="A10" s="296" t="str">
        <f>PLAN!A10</f>
        <v xml:space="preserve"> 1.2</v>
      </c>
      <c r="B10" s="299" t="str">
        <f>PLAN!C10</f>
        <v>TÉCNICO EM SEGURANÇA DO TRABALHO COM ENCARGOS COMPLEMENTARES</v>
      </c>
      <c r="C10" s="296" t="str">
        <f>PLAN!D10</f>
        <v>MÊS</v>
      </c>
      <c r="D10" s="121">
        <f>PLAN!E10</f>
        <v>0.03</v>
      </c>
      <c r="E10" s="121">
        <f>'BM 01'!F10</f>
        <v>10433.19</v>
      </c>
      <c r="F10" s="121">
        <f>'BM 01'!G10</f>
        <v>313</v>
      </c>
      <c r="G10" s="301"/>
      <c r="H10" s="301">
        <f t="shared" ref="H10:H44" si="0">D10+G10</f>
        <v>0.03</v>
      </c>
      <c r="I10" s="301">
        <f t="shared" ref="I10:I44" si="1">ROUND(G10*E10,2)</f>
        <v>0</v>
      </c>
      <c r="J10" s="301">
        <f t="shared" ref="J10:J44" si="2">ROUND(F10+G10*E10,2)</f>
        <v>313</v>
      </c>
      <c r="K10" s="298"/>
      <c r="L10" s="298"/>
      <c r="M10" s="298"/>
      <c r="N10" s="298"/>
    </row>
    <row r="11" spans="1:14" ht="13.9" customHeight="1" x14ac:dyDescent="0.2">
      <c r="A11" s="296" t="str">
        <f>PLAN!A11</f>
        <v xml:space="preserve"> 1.3</v>
      </c>
      <c r="B11" s="299" t="str">
        <f>PLAN!C11</f>
        <v>ENGENHEIRO CIVIL DE OBRA PLENO COM ENCARGOS COMPLEMENTARES</v>
      </c>
      <c r="C11" s="296" t="str">
        <f>PLAN!D11</f>
        <v>MÊS</v>
      </c>
      <c r="D11" s="121">
        <f>PLAN!E11</f>
        <v>0.03</v>
      </c>
      <c r="E11" s="121">
        <f>'BM 01'!F11</f>
        <v>30092.51</v>
      </c>
      <c r="F11" s="121">
        <f>'BM 01'!G11</f>
        <v>902.78</v>
      </c>
      <c r="G11" s="301"/>
      <c r="H11" s="301">
        <f t="shared" si="0"/>
        <v>0.03</v>
      </c>
      <c r="I11" s="301">
        <f t="shared" si="1"/>
        <v>0</v>
      </c>
      <c r="J11" s="301">
        <f t="shared" si="2"/>
        <v>902.78</v>
      </c>
      <c r="K11" s="298"/>
      <c r="L11" s="298"/>
      <c r="M11" s="298"/>
      <c r="N11" s="298"/>
    </row>
    <row r="12" spans="1:14" ht="13.9" customHeight="1" x14ac:dyDescent="0.2">
      <c r="A12" s="296">
        <f>PLAN!A12</f>
        <v>2</v>
      </c>
      <c r="B12" s="299" t="str">
        <f>PLAN!C12</f>
        <v>SERVIÇOS PRELIMINARES</v>
      </c>
      <c r="C12" s="296">
        <f>PLAN!D12</f>
        <v>0</v>
      </c>
      <c r="D12" s="121">
        <f>PLAN!E12</f>
        <v>0</v>
      </c>
      <c r="E12" s="121">
        <f>'BM 01'!F12</f>
        <v>0</v>
      </c>
      <c r="F12" s="121">
        <f>'BM 01'!G12</f>
        <v>0</v>
      </c>
      <c r="G12" s="301"/>
      <c r="H12" s="301">
        <f t="shared" si="0"/>
        <v>0</v>
      </c>
      <c r="I12" s="301">
        <f t="shared" si="1"/>
        <v>0</v>
      </c>
      <c r="J12" s="301">
        <f t="shared" si="2"/>
        <v>0</v>
      </c>
      <c r="K12" s="298"/>
      <c r="L12" s="298"/>
      <c r="M12" s="298"/>
      <c r="N12" s="298"/>
    </row>
    <row r="13" spans="1:14" ht="24" customHeight="1" x14ac:dyDescent="0.2">
      <c r="A13" s="296" t="str">
        <f>PLAN!A13</f>
        <v>2.1</v>
      </c>
      <c r="B13" s="299" t="str">
        <f>PLAN!C13</f>
        <v>FORNECIMENTO E COLOCAÇÃO DE PLACA DE OBRA EM CHAPA GALVANIZADA #26, ESP. 0,45 MM, PLOTADA COM ADESIVO VINÍLICO, AFIXADA C/ REBITES 4,8X40 MM, EM ESTRUTURA METÁLICA DE METALON 20X20 MM, ESP. 1,25 MM, INCL SUPORTE EM EUCALIPTO AUTOCLAVADO PINTADO COM TINTA PVA DUAS (2) DEMÃOS</v>
      </c>
      <c r="C13" s="296" t="str">
        <f>PLAN!D13</f>
        <v>M2</v>
      </c>
      <c r="D13" s="121">
        <f>PLAN!E13</f>
        <v>2</v>
      </c>
      <c r="E13" s="121">
        <f>'BM 01'!F13</f>
        <v>331.17</v>
      </c>
      <c r="F13" s="121">
        <f>'BM 01'!G13</f>
        <v>662.34</v>
      </c>
      <c r="G13" s="300"/>
      <c r="H13" s="301">
        <f t="shared" si="0"/>
        <v>2</v>
      </c>
      <c r="I13" s="301">
        <f t="shared" si="1"/>
        <v>0</v>
      </c>
      <c r="J13" s="301">
        <f t="shared" si="2"/>
        <v>662.34</v>
      </c>
      <c r="K13" s="298"/>
      <c r="L13" s="298"/>
      <c r="M13" s="298"/>
      <c r="N13" s="298"/>
    </row>
    <row r="14" spans="1:14" ht="13.9" customHeight="1" x14ac:dyDescent="0.2">
      <c r="A14" s="296" t="str">
        <f>PLAN!A14</f>
        <v>2.2</v>
      </c>
      <c r="B14" s="299" t="str">
        <f>PLAN!C14</f>
        <v>MOBILIZAÇÃO E DESMOBILIZAÇÃO OBRA DISTANTE DE CENTRO URBANO OU REGIÃO LIMÍTROFE COM VALOR ATÉ 1.000.000,00</v>
      </c>
      <c r="C14" s="296" t="str">
        <f>PLAN!D14</f>
        <v>%</v>
      </c>
      <c r="D14" s="121">
        <f>PLAN!E14</f>
        <v>0.5</v>
      </c>
      <c r="E14" s="121">
        <f>'BM 01'!F14</f>
        <v>838064.13</v>
      </c>
      <c r="F14" s="121">
        <f>'BM 01'!G14</f>
        <v>4190.3207000000002</v>
      </c>
      <c r="G14" s="300"/>
      <c r="H14" s="301">
        <f t="shared" si="0"/>
        <v>0.5</v>
      </c>
      <c r="I14" s="301">
        <f t="shared" si="1"/>
        <v>0</v>
      </c>
      <c r="J14" s="301">
        <f t="shared" si="2"/>
        <v>4190.32</v>
      </c>
      <c r="K14" s="298"/>
      <c r="L14" s="298"/>
      <c r="M14" s="298"/>
      <c r="N14" s="298"/>
    </row>
    <row r="15" spans="1:14" ht="13.9" customHeight="1" x14ac:dyDescent="0.2">
      <c r="A15" s="296">
        <f>PLAN!A15</f>
        <v>3</v>
      </c>
      <c r="B15" s="299" t="str">
        <f>PLAN!C15</f>
        <v>ÁREA 01 - RUA SAGRADOS CORAÇÕES</v>
      </c>
      <c r="C15" s="296">
        <f>PLAN!D15</f>
        <v>0</v>
      </c>
      <c r="D15" s="121">
        <f>PLAN!E15</f>
        <v>0</v>
      </c>
      <c r="E15" s="121">
        <f>'BM 01'!F15</f>
        <v>0</v>
      </c>
      <c r="F15" s="121">
        <f>'BM 01'!G15</f>
        <v>0</v>
      </c>
      <c r="G15" s="300"/>
      <c r="H15" s="301">
        <f t="shared" si="0"/>
        <v>0</v>
      </c>
      <c r="I15" s="301">
        <f t="shared" si="1"/>
        <v>0</v>
      </c>
      <c r="J15" s="301">
        <f t="shared" si="2"/>
        <v>0</v>
      </c>
      <c r="K15" s="298"/>
      <c r="L15" s="298"/>
      <c r="M15" s="298"/>
      <c r="N15" s="298"/>
    </row>
    <row r="16" spans="1:14" ht="13.9" customHeight="1" x14ac:dyDescent="0.2">
      <c r="A16" s="296" t="str">
        <f>PLAN!A17</f>
        <v>3.1.1</v>
      </c>
      <c r="B16" s="299" t="str">
        <f>PLAN!C17</f>
        <v xml:space="preserve">REMOÇÃO DE MEIO FIO PRÉ MOLDADO DE CONCRETO </v>
      </c>
      <c r="C16" s="296" t="str">
        <f>PLAN!D17</f>
        <v>M</v>
      </c>
      <c r="D16" s="121">
        <f>PLAN!E17</f>
        <v>46.55</v>
      </c>
      <c r="E16" s="121">
        <f>'BM 01'!F16</f>
        <v>0</v>
      </c>
      <c r="F16" s="121">
        <f>'BM 01'!G16</f>
        <v>0</v>
      </c>
      <c r="G16" s="300"/>
      <c r="H16" s="301">
        <f t="shared" si="0"/>
        <v>46.55</v>
      </c>
      <c r="I16" s="301">
        <f t="shared" si="1"/>
        <v>0</v>
      </c>
      <c r="J16" s="301">
        <f t="shared" si="2"/>
        <v>0</v>
      </c>
      <c r="K16" s="298"/>
      <c r="L16" s="298"/>
      <c r="M16" s="305"/>
      <c r="N16" s="298"/>
    </row>
    <row r="17" spans="1:14" ht="13.9" customHeight="1" x14ac:dyDescent="0.2">
      <c r="A17" s="296" t="str">
        <f>PLAN!A19</f>
        <v>3.1.3</v>
      </c>
      <c r="B17" s="299" t="str">
        <f>PLAN!C19</f>
        <v>TRANSPORTE DE MATERIAL DE QUALQUER NATUREZA COM CARRINHO DE MÃO, COM DISTÂNCIAS MENORES OU IGUAIS A 50M, INCLUSIVE CARGA/DESCARGA</v>
      </c>
      <c r="C17" s="296" t="str">
        <f>PLAN!D19</f>
        <v>M3</v>
      </c>
      <c r="D17" s="121">
        <f>PLAN!E19</f>
        <v>5.09</v>
      </c>
      <c r="E17" s="121">
        <f>'BM 01'!F17</f>
        <v>35.29</v>
      </c>
      <c r="F17" s="121">
        <f>'BM 01'!G17</f>
        <v>179.63</v>
      </c>
      <c r="G17" s="300"/>
      <c r="H17" s="301">
        <f t="shared" si="0"/>
        <v>5.09</v>
      </c>
      <c r="I17" s="301">
        <f t="shared" si="1"/>
        <v>0</v>
      </c>
      <c r="J17" s="301">
        <f t="shared" si="2"/>
        <v>179.63</v>
      </c>
      <c r="K17" s="335"/>
      <c r="L17" s="298"/>
      <c r="M17" s="305"/>
      <c r="N17" s="298"/>
    </row>
    <row r="18" spans="1:14" ht="13.9" customHeight="1" x14ac:dyDescent="0.2">
      <c r="A18" s="296" t="str">
        <f>PLAN!A20</f>
        <v>3.1.4</v>
      </c>
      <c r="B18" s="299" t="str">
        <f>PLAN!C20</f>
        <v>TRANSPORTE DE MATERIAL DE QUALQUER NATUREZA EM CAMINHÃO, DISTÂNCIA MAIOR QUE 1KM E MENOR OU IGUAL A 2KM, DENTRO DO PERÍMETRO URBANO, EXCLUSIVE CARGA, INCLUSIVE DESCARGA</v>
      </c>
      <c r="C18" s="296" t="str">
        <f>PLAN!D20</f>
        <v>M3xKM</v>
      </c>
      <c r="D18" s="121">
        <f>PLAN!E20</f>
        <v>10.18</v>
      </c>
      <c r="E18" s="121">
        <f>'BM 01'!F18</f>
        <v>5.25</v>
      </c>
      <c r="F18" s="121">
        <f>'BM 01'!G18</f>
        <v>53.45</v>
      </c>
      <c r="G18" s="121"/>
      <c r="H18" s="301">
        <f t="shared" si="0"/>
        <v>10.18</v>
      </c>
      <c r="I18" s="301">
        <f t="shared" si="1"/>
        <v>0</v>
      </c>
      <c r="J18" s="301">
        <f t="shared" si="2"/>
        <v>53.45</v>
      </c>
      <c r="K18" s="298"/>
      <c r="L18" s="298"/>
      <c r="M18" s="305"/>
      <c r="N18" s="298"/>
    </row>
    <row r="19" spans="1:14" ht="13.9" customHeight="1" x14ac:dyDescent="0.2">
      <c r="A19" s="296" t="e">
        <f>PLAN!#REF!</f>
        <v>#REF!</v>
      </c>
      <c r="B19" s="299" t="e">
        <f>PLAN!#REF!</f>
        <v>#REF!</v>
      </c>
      <c r="C19" s="296" t="e">
        <f>PLAN!#REF!</f>
        <v>#REF!</v>
      </c>
      <c r="D19" s="121" t="e">
        <f>PLAN!#REF!</f>
        <v>#REF!</v>
      </c>
      <c r="E19" s="121" t="e">
        <f>'BM 01'!F19</f>
        <v>#REF!</v>
      </c>
      <c r="F19" s="121" t="e">
        <f>'BM 01'!G19</f>
        <v>#REF!</v>
      </c>
      <c r="G19" s="121"/>
      <c r="H19" s="301" t="e">
        <f t="shared" si="0"/>
        <v>#REF!</v>
      </c>
      <c r="I19" s="301" t="e">
        <f t="shared" si="1"/>
        <v>#REF!</v>
      </c>
      <c r="J19" s="301" t="e">
        <f t="shared" si="2"/>
        <v>#REF!</v>
      </c>
      <c r="K19" s="298"/>
      <c r="L19" s="298"/>
      <c r="M19" s="305"/>
      <c r="N19" s="298"/>
    </row>
    <row r="20" spans="1:14" ht="13.9" customHeight="1" x14ac:dyDescent="0.2">
      <c r="A20" s="296" t="str">
        <f>PLAN!A21</f>
        <v>3.2</v>
      </c>
      <c r="B20" s="299" t="str">
        <f>PLAN!C21</f>
        <v>EXECUÇÃO DE CANTEIROS</v>
      </c>
      <c r="C20" s="296">
        <f>PLAN!D21</f>
        <v>0</v>
      </c>
      <c r="D20" s="121">
        <f>PLAN!E21</f>
        <v>0</v>
      </c>
      <c r="E20" s="121">
        <f>'BM 01'!F20</f>
        <v>0</v>
      </c>
      <c r="F20" s="121">
        <f>'BM 01'!G20</f>
        <v>0</v>
      </c>
      <c r="G20" s="121"/>
      <c r="H20" s="301">
        <f t="shared" si="0"/>
        <v>0</v>
      </c>
      <c r="I20" s="301">
        <f t="shared" si="1"/>
        <v>0</v>
      </c>
      <c r="J20" s="301">
        <f t="shared" si="2"/>
        <v>0</v>
      </c>
      <c r="K20" s="298"/>
      <c r="L20" s="298"/>
      <c r="M20" s="305"/>
      <c r="N20" s="298"/>
    </row>
    <row r="21" spans="1:14" ht="13.9" customHeight="1" x14ac:dyDescent="0.2">
      <c r="A21" s="296" t="str">
        <f>PLAN!A22</f>
        <v>3.2.1</v>
      </c>
      <c r="B21" s="299" t="str">
        <f>PLAN!C22</f>
        <v>ESCAVAÇÃO MANUAL DE VALA COM PROFUNDIDADE MENOR OU IGUAL A 1,5M, INCLUSIVE DESCARGA LATERAL</v>
      </c>
      <c r="C21" s="296" t="str">
        <f>PLAN!D22</f>
        <v>M3</v>
      </c>
      <c r="D21" s="121">
        <f>PLAN!E22</f>
        <v>1.77</v>
      </c>
      <c r="E21" s="121">
        <f>'BM 01'!F21</f>
        <v>101.76</v>
      </c>
      <c r="F21" s="121">
        <f>'BM 01'!G21</f>
        <v>180.12</v>
      </c>
      <c r="G21" s="121"/>
      <c r="H21" s="301">
        <f t="shared" si="0"/>
        <v>1.77</v>
      </c>
      <c r="I21" s="301">
        <f t="shared" si="1"/>
        <v>0</v>
      </c>
      <c r="J21" s="301">
        <f t="shared" si="2"/>
        <v>180.12</v>
      </c>
      <c r="K21" s="298"/>
      <c r="L21" s="298"/>
      <c r="M21" s="305"/>
      <c r="N21" s="298"/>
    </row>
    <row r="22" spans="1:14" ht="13.9" customHeight="1" x14ac:dyDescent="0.2">
      <c r="A22" s="296" t="str">
        <f>PLAN!A23</f>
        <v>3.2.2</v>
      </c>
      <c r="B22" s="299" t="str">
        <f>PLAN!C23</f>
        <v>CINTA EM CONCRETO ARMADO</v>
      </c>
      <c r="C22" s="296">
        <f>PLAN!D23</f>
        <v>0</v>
      </c>
      <c r="D22" s="121">
        <f>PLAN!E23</f>
        <v>0</v>
      </c>
      <c r="E22" s="121">
        <f>'BM 01'!F22</f>
        <v>0</v>
      </c>
      <c r="F22" s="121">
        <f>'BM 01'!G22</f>
        <v>0</v>
      </c>
      <c r="G22" s="121"/>
      <c r="H22" s="301">
        <f t="shared" si="0"/>
        <v>0</v>
      </c>
      <c r="I22" s="301">
        <f t="shared" si="1"/>
        <v>0</v>
      </c>
      <c r="J22" s="301">
        <f t="shared" si="2"/>
        <v>0</v>
      </c>
      <c r="K22" s="298"/>
      <c r="L22" s="298"/>
      <c r="M22" s="305"/>
      <c r="N22" s="298"/>
    </row>
    <row r="23" spans="1:14" ht="13.9" customHeight="1" x14ac:dyDescent="0.2">
      <c r="A23" s="296" t="str">
        <f>PLAN!A27</f>
        <v>3.2.2.4</v>
      </c>
      <c r="B23" s="299" t="str">
        <f>PLAN!C27</f>
        <v>GUIA DE CORDÃO BOLEADO, EM CONCRETO COM FCK 20MPA, PRÉ MOLDADA, 10X10CM (ALTURA X LARGURA), INCLUSIVE UMA (1) FIADA DE BLOCO DE CONCRETO, ESP. 9CM, ESCAVAÇÃO, APILOAMENTO E TRANSPORTE COM RETIRADA DO MATERIAL ESCAVADO (EM CAÇAMBA)</v>
      </c>
      <c r="C23" s="296" t="str">
        <f>PLAN!D27</f>
        <v>M</v>
      </c>
      <c r="D23" s="121">
        <f>PLAN!E27</f>
        <v>59</v>
      </c>
      <c r="E23" s="121">
        <f>'BM 01'!F23</f>
        <v>78.510000000000005</v>
      </c>
      <c r="F23" s="121">
        <f>'BM 01'!G23</f>
        <v>4632.09</v>
      </c>
      <c r="G23" s="121"/>
      <c r="H23" s="301">
        <f t="shared" si="0"/>
        <v>59</v>
      </c>
      <c r="I23" s="301">
        <f t="shared" si="1"/>
        <v>0</v>
      </c>
      <c r="J23" s="301">
        <f t="shared" si="2"/>
        <v>4632.09</v>
      </c>
      <c r="K23" s="298"/>
      <c r="L23" s="298"/>
      <c r="M23" s="305"/>
      <c r="N23" s="298"/>
    </row>
    <row r="24" spans="1:14" ht="13.9" customHeight="1" x14ac:dyDescent="0.2">
      <c r="A24" s="296" t="str">
        <f>PLAN!A29</f>
        <v>3.3.1</v>
      </c>
      <c r="B24" s="299" t="str">
        <f>PLAN!C29</f>
        <v>PLANTIO DE GRAMA ESMERALDA EM PLACAS, INCLUSIVE TERRA VEGETAL E CONSERVAÇÃO POR TRINTA (30) DIAS</v>
      </c>
      <c r="C24" s="296" t="str">
        <f>PLAN!D29</f>
        <v>M2</v>
      </c>
      <c r="D24" s="121">
        <f>PLAN!E29</f>
        <v>74.34</v>
      </c>
      <c r="E24" s="121">
        <f>'BM 01'!F24</f>
        <v>48.6</v>
      </c>
      <c r="F24" s="121">
        <f>'BM 01'!G24</f>
        <v>3612.92</v>
      </c>
      <c r="G24" s="121"/>
      <c r="H24" s="301">
        <f t="shared" si="0"/>
        <v>74.34</v>
      </c>
      <c r="I24" s="301">
        <f t="shared" si="1"/>
        <v>0</v>
      </c>
      <c r="J24" s="301">
        <f t="shared" si="2"/>
        <v>3612.92</v>
      </c>
      <c r="K24" s="298"/>
      <c r="L24" s="298"/>
      <c r="M24" s="305"/>
      <c r="N24" s="298"/>
    </row>
    <row r="25" spans="1:14" ht="13.9" customHeight="1" x14ac:dyDescent="0.2">
      <c r="A25" s="296" t="str">
        <f>PLAN!A30</f>
        <v>3.3.2</v>
      </c>
      <c r="B25" s="299" t="str">
        <f>PLAN!C30</f>
        <v>FORNECIMENTO DE ARBUSTO BELA EMÍLIA COM ALTURA MÍNIMA DE 15CM, EXCLUSIVE PLANTIO</v>
      </c>
      <c r="C25" s="296" t="str">
        <f>PLAN!D30</f>
        <v>UNID</v>
      </c>
      <c r="D25" s="121">
        <f>PLAN!E30</f>
        <v>10</v>
      </c>
      <c r="E25" s="121">
        <f>'BM 01'!F25</f>
        <v>8.5399999999999991</v>
      </c>
      <c r="F25" s="121">
        <f>'BM 01'!G25</f>
        <v>85.4</v>
      </c>
      <c r="G25" s="121"/>
      <c r="H25" s="301">
        <f t="shared" si="0"/>
        <v>10</v>
      </c>
      <c r="I25" s="301">
        <f t="shared" si="1"/>
        <v>0</v>
      </c>
      <c r="J25" s="301">
        <f t="shared" si="2"/>
        <v>85.4</v>
      </c>
      <c r="K25" s="298"/>
      <c r="L25" s="298"/>
      <c r="M25" s="305"/>
      <c r="N25" s="298"/>
    </row>
    <row r="26" spans="1:14" ht="13.9" customHeight="1" x14ac:dyDescent="0.2">
      <c r="A26" s="296" t="e">
        <f>PLAN!#REF!</f>
        <v>#REF!</v>
      </c>
      <c r="B26" s="299" t="e">
        <f>PLAN!#REF!</f>
        <v>#REF!</v>
      </c>
      <c r="C26" s="296" t="e">
        <f>PLAN!#REF!</f>
        <v>#REF!</v>
      </c>
      <c r="D26" s="121" t="e">
        <f>PLAN!#REF!</f>
        <v>#REF!</v>
      </c>
      <c r="E26" s="121" t="e">
        <f>'BM 01'!F26</f>
        <v>#REF!</v>
      </c>
      <c r="F26" s="121" t="e">
        <f>'BM 01'!G26</f>
        <v>#REF!</v>
      </c>
      <c r="G26" s="121"/>
      <c r="H26" s="301" t="e">
        <f t="shared" si="0"/>
        <v>#REF!</v>
      </c>
      <c r="I26" s="301" t="e">
        <f t="shared" si="1"/>
        <v>#REF!</v>
      </c>
      <c r="J26" s="301" t="e">
        <f t="shared" si="2"/>
        <v>#REF!</v>
      </c>
      <c r="K26" s="298"/>
      <c r="L26" s="298"/>
      <c r="M26" s="305"/>
      <c r="N26" s="298"/>
    </row>
    <row r="27" spans="1:14" ht="13.9" customHeight="1" x14ac:dyDescent="0.2">
      <c r="A27" s="296" t="e">
        <f>PLAN!#REF!</f>
        <v>#REF!</v>
      </c>
      <c r="B27" s="299" t="e">
        <f>PLAN!#REF!</f>
        <v>#REF!</v>
      </c>
      <c r="C27" s="296" t="e">
        <f>PLAN!#REF!</f>
        <v>#REF!</v>
      </c>
      <c r="D27" s="121" t="e">
        <f>PLAN!#REF!</f>
        <v>#REF!</v>
      </c>
      <c r="E27" s="121">
        <f>'BM 01'!F27</f>
        <v>0</v>
      </c>
      <c r="F27" s="121">
        <f>'BM 01'!G27</f>
        <v>0</v>
      </c>
      <c r="G27" s="121"/>
      <c r="H27" s="301" t="e">
        <f t="shared" si="0"/>
        <v>#REF!</v>
      </c>
      <c r="I27" s="301">
        <f t="shared" si="1"/>
        <v>0</v>
      </c>
      <c r="J27" s="301">
        <f t="shared" si="2"/>
        <v>0</v>
      </c>
      <c r="K27" s="298"/>
      <c r="L27" s="298"/>
      <c r="M27" s="305"/>
      <c r="N27" s="298"/>
    </row>
    <row r="28" spans="1:14" ht="13.9" customHeight="1" x14ac:dyDescent="0.2">
      <c r="A28" s="296" t="e">
        <f>PLAN!#REF!</f>
        <v>#REF!</v>
      </c>
      <c r="B28" s="299" t="e">
        <f>PLAN!#REF!</f>
        <v>#REF!</v>
      </c>
      <c r="C28" s="296" t="e">
        <f>PLAN!#REF!</f>
        <v>#REF!</v>
      </c>
      <c r="D28" s="121" t="e">
        <f>PLAN!#REF!</f>
        <v>#REF!</v>
      </c>
      <c r="E28" s="121" t="e">
        <f>'BM 01'!F28</f>
        <v>#REF!</v>
      </c>
      <c r="F28" s="121" t="e">
        <f>'BM 01'!G28</f>
        <v>#REF!</v>
      </c>
      <c r="G28" s="121"/>
      <c r="H28" s="301" t="e">
        <f t="shared" si="0"/>
        <v>#REF!</v>
      </c>
      <c r="I28" s="301" t="e">
        <f t="shared" si="1"/>
        <v>#REF!</v>
      </c>
      <c r="J28" s="301" t="e">
        <f t="shared" si="2"/>
        <v>#REF!</v>
      </c>
      <c r="K28" s="298"/>
      <c r="L28" s="298"/>
      <c r="M28" s="305"/>
      <c r="N28" s="298"/>
    </row>
    <row r="29" spans="1:14" ht="13.9" customHeight="1" x14ac:dyDescent="0.2">
      <c r="A29" s="296" t="e">
        <f>PLAN!#REF!</f>
        <v>#REF!</v>
      </c>
      <c r="B29" s="299" t="e">
        <f>PLAN!#REF!</f>
        <v>#REF!</v>
      </c>
      <c r="C29" s="296" t="e">
        <f>PLAN!#REF!</f>
        <v>#REF!</v>
      </c>
      <c r="D29" s="121" t="e">
        <f>PLAN!#REF!</f>
        <v>#REF!</v>
      </c>
      <c r="E29" s="121" t="e">
        <f>'BM 01'!F29</f>
        <v>#REF!</v>
      </c>
      <c r="F29" s="121" t="e">
        <f>'BM 01'!G29</f>
        <v>#REF!</v>
      </c>
      <c r="G29" s="121"/>
      <c r="H29" s="301" t="e">
        <f t="shared" si="0"/>
        <v>#REF!</v>
      </c>
      <c r="I29" s="301" t="e">
        <f t="shared" si="1"/>
        <v>#REF!</v>
      </c>
      <c r="J29" s="301" t="e">
        <f t="shared" si="2"/>
        <v>#REF!</v>
      </c>
      <c r="K29" s="298"/>
      <c r="L29" s="298"/>
      <c r="M29" s="305"/>
      <c r="N29" s="298"/>
    </row>
    <row r="30" spans="1:14" ht="13.9" customHeight="1" x14ac:dyDescent="0.2">
      <c r="A30" s="296" t="str">
        <f>PLAN!A70</f>
        <v>4.4</v>
      </c>
      <c r="B30" s="299" t="str">
        <f>PLAN!C70</f>
        <v>DRENAGEM PLUVIAL</v>
      </c>
      <c r="C30" s="296">
        <f>PLAN!D70</f>
        <v>0</v>
      </c>
      <c r="D30" s="121">
        <f>PLAN!E70</f>
        <v>0</v>
      </c>
      <c r="E30" s="121">
        <f>'BM 01'!F30</f>
        <v>0</v>
      </c>
      <c r="F30" s="121">
        <f>'BM 01'!G30</f>
        <v>0</v>
      </c>
      <c r="G30" s="121"/>
      <c r="H30" s="301">
        <f t="shared" si="0"/>
        <v>0</v>
      </c>
      <c r="I30" s="301">
        <f t="shared" si="1"/>
        <v>0</v>
      </c>
      <c r="J30" s="301">
        <f t="shared" si="2"/>
        <v>0</v>
      </c>
      <c r="K30" s="298"/>
      <c r="L30" s="298"/>
      <c r="M30" s="305"/>
      <c r="N30" s="298"/>
    </row>
    <row r="31" spans="1:14" ht="13.9" customHeight="1" x14ac:dyDescent="0.2">
      <c r="A31" s="296" t="str">
        <f>PLAN!A74</f>
        <v>4.4.4</v>
      </c>
      <c r="B31" s="299" t="str">
        <f>PLAN!C74</f>
        <v>ESCAVAÇÃO MECÂNICA DE VALAS COM PROFUNDIDADE MENOR OU IGUAL A 1,5M, INCLUSIVE CARGA EM CAMINHÃO, EXCLUSIVE TRANSPORTE E DESCARGA</v>
      </c>
      <c r="C31" s="296" t="str">
        <f>PLAN!D74</f>
        <v>M3</v>
      </c>
      <c r="D31" s="121">
        <f>PLAN!E74</f>
        <v>203.72</v>
      </c>
      <c r="E31" s="121">
        <f>'BM 01'!F31</f>
        <v>14.52</v>
      </c>
      <c r="F31" s="121">
        <f>'BM 01'!G31</f>
        <v>2958.01</v>
      </c>
      <c r="G31" s="121"/>
      <c r="H31" s="301">
        <f t="shared" si="0"/>
        <v>203.72</v>
      </c>
      <c r="I31" s="301">
        <f t="shared" si="1"/>
        <v>0</v>
      </c>
      <c r="J31" s="301">
        <f t="shared" si="2"/>
        <v>2958.01</v>
      </c>
      <c r="K31" s="298"/>
      <c r="L31" s="298"/>
      <c r="M31" s="305"/>
      <c r="N31" s="298"/>
    </row>
    <row r="32" spans="1:14" ht="13.9" customHeight="1" x14ac:dyDescent="0.2">
      <c r="A32" s="296" t="e">
        <f>PLAN!#REF!</f>
        <v>#REF!</v>
      </c>
      <c r="B32" s="299" t="e">
        <f>PLAN!#REF!</f>
        <v>#REF!</v>
      </c>
      <c r="C32" s="296" t="e">
        <f>PLAN!#REF!</f>
        <v>#REF!</v>
      </c>
      <c r="D32" s="121" t="e">
        <f>PLAN!#REF!</f>
        <v>#REF!</v>
      </c>
      <c r="E32" s="121" t="e">
        <f>'BM 01'!F32</f>
        <v>#REF!</v>
      </c>
      <c r="F32" s="121" t="e">
        <f>'BM 01'!G32</f>
        <v>#REF!</v>
      </c>
      <c r="G32" s="121"/>
      <c r="H32" s="301" t="e">
        <f t="shared" si="0"/>
        <v>#REF!</v>
      </c>
      <c r="I32" s="301" t="e">
        <f t="shared" si="1"/>
        <v>#REF!</v>
      </c>
      <c r="J32" s="301" t="e">
        <f t="shared" si="2"/>
        <v>#REF!</v>
      </c>
      <c r="K32" s="298"/>
      <c r="L32" s="298"/>
      <c r="M32" s="305"/>
      <c r="N32" s="298"/>
    </row>
    <row r="33" spans="1:14" ht="13.9" customHeight="1" x14ac:dyDescent="0.2">
      <c r="A33" s="296" t="str">
        <f>PLAN!A76</f>
        <v>4.4.6</v>
      </c>
      <c r="B33" s="299" t="str">
        <f>PLAN!C76</f>
        <v>APILOAMENTO DO FUNDO DE VALAS COM PLACA VIBRATÓRIA</v>
      </c>
      <c r="C33" s="296" t="str">
        <f>PLAN!D76</f>
        <v>M2</v>
      </c>
      <c r="D33" s="121">
        <f>PLAN!E76</f>
        <v>142.82</v>
      </c>
      <c r="E33" s="121">
        <f>'BM 01'!F33</f>
        <v>19.3</v>
      </c>
      <c r="F33" s="121">
        <f>'BM 01'!G33</f>
        <v>2756.43</v>
      </c>
      <c r="G33" s="121"/>
      <c r="H33" s="301">
        <f t="shared" si="0"/>
        <v>142.82</v>
      </c>
      <c r="I33" s="301">
        <f t="shared" si="1"/>
        <v>0</v>
      </c>
      <c r="J33" s="301">
        <f t="shared" si="2"/>
        <v>2756.43</v>
      </c>
      <c r="K33" s="298"/>
      <c r="L33" s="298"/>
      <c r="M33" s="305"/>
      <c r="N33" s="298"/>
    </row>
    <row r="34" spans="1:14" ht="13.9" customHeight="1" x14ac:dyDescent="0.2">
      <c r="A34" s="296" t="str">
        <f>PLAN!A80</f>
        <v>4.4.10</v>
      </c>
      <c r="B34" s="299" t="str">
        <f>PLAN!C80</f>
        <v>TUBO DE CONCRETO ARMADO, CLASSE PA1, DIÂMETRO DE 800MM, INCLUSIVE CARGA E DESCARGA MECÂNICA EM CAMINHÃO, ASSENTAMENTO E REJUNTAMENTO, EXCLUSIVE ESCAVAÇÃO E TRANSPORTE</v>
      </c>
      <c r="C34" s="296" t="str">
        <f>PLAN!D80</f>
        <v>M</v>
      </c>
      <c r="D34" s="121">
        <f>PLAN!E80</f>
        <v>77</v>
      </c>
      <c r="E34" s="121">
        <f>'BM 01'!F34</f>
        <v>523.26</v>
      </c>
      <c r="F34" s="121">
        <f>'BM 01'!G34</f>
        <v>40291.019999999997</v>
      </c>
      <c r="G34" s="121"/>
      <c r="H34" s="301">
        <f t="shared" si="0"/>
        <v>77</v>
      </c>
      <c r="I34" s="301">
        <f t="shared" si="1"/>
        <v>0</v>
      </c>
      <c r="J34" s="301">
        <f t="shared" si="2"/>
        <v>40291.019999999997</v>
      </c>
      <c r="K34" s="298"/>
      <c r="L34" s="298"/>
      <c r="M34" s="305"/>
      <c r="N34" s="298"/>
    </row>
    <row r="35" spans="1:14" ht="13.9" customHeight="1" x14ac:dyDescent="0.2">
      <c r="A35" s="296" t="str">
        <f>PLAN!A81</f>
        <v>4.4.11</v>
      </c>
      <c r="B35" s="299" t="str">
        <f>PLAN!C81</f>
        <v>REATERRO COMPACTADO DE VALA COM EQUIPAMENTO PLACA VIBRATÓRIA</v>
      </c>
      <c r="C35" s="296" t="str">
        <f>PLAN!D81</f>
        <v>M3</v>
      </c>
      <c r="D35" s="121">
        <f>PLAN!E81</f>
        <v>148.76</v>
      </c>
      <c r="E35" s="121">
        <f>'BM 01'!F35</f>
        <v>63.96</v>
      </c>
      <c r="F35" s="121">
        <f>'BM 01'!G35</f>
        <v>9514.69</v>
      </c>
      <c r="G35" s="121"/>
      <c r="H35" s="301">
        <f t="shared" si="0"/>
        <v>148.76</v>
      </c>
      <c r="I35" s="301">
        <f t="shared" si="1"/>
        <v>0</v>
      </c>
      <c r="J35" s="301">
        <f t="shared" si="2"/>
        <v>9514.69</v>
      </c>
      <c r="K35" s="298"/>
      <c r="L35" s="298"/>
      <c r="M35" s="305"/>
      <c r="N35" s="298"/>
    </row>
    <row r="36" spans="1:14" ht="13.9" customHeight="1" x14ac:dyDescent="0.2">
      <c r="A36" s="296" t="str">
        <f>PLAN!A83</f>
        <v>4.4.13</v>
      </c>
      <c r="B36" s="299" t="str">
        <f>PLAN!C83</f>
        <v>Boca de Lobo Simples combinada com grelha, quadro e cantoneira pré moldados de concreto   BLS 01 areia e brita comerciais (Execução, incluindo escavação, fornecimento, carga e transporte de todos os materiais)   (Caderno de Drenagem RT 01.47.d)</v>
      </c>
      <c r="C36" s="296" t="str">
        <f>PLAN!D83</f>
        <v>UNID</v>
      </c>
      <c r="D36" s="121">
        <f>PLAN!E83</f>
        <v>8</v>
      </c>
      <c r="E36" s="121">
        <f>'BM 01'!F36</f>
        <v>1655.66</v>
      </c>
      <c r="F36" s="121">
        <f>'BM 01'!G36</f>
        <v>13245.28</v>
      </c>
      <c r="G36" s="121"/>
      <c r="H36" s="301">
        <f t="shared" si="0"/>
        <v>8</v>
      </c>
      <c r="I36" s="301">
        <f t="shared" si="1"/>
        <v>0</v>
      </c>
      <c r="J36" s="301">
        <f t="shared" si="2"/>
        <v>13245.28</v>
      </c>
      <c r="K36" s="298"/>
      <c r="L36" s="298"/>
      <c r="M36" s="305"/>
      <c r="N36" s="298"/>
    </row>
    <row r="37" spans="1:14" ht="13.9" customHeight="1" x14ac:dyDescent="0.2">
      <c r="A37" s="296" t="e">
        <f>PLAN!#REF!</f>
        <v>#REF!</v>
      </c>
      <c r="B37" s="299" t="e">
        <f>PLAN!#REF!</f>
        <v>#REF!</v>
      </c>
      <c r="C37" s="296" t="e">
        <f>PLAN!#REF!</f>
        <v>#REF!</v>
      </c>
      <c r="D37" s="121" t="e">
        <f>PLAN!#REF!</f>
        <v>#REF!</v>
      </c>
      <c r="E37" s="121">
        <f>'BM 01'!F37</f>
        <v>0</v>
      </c>
      <c r="F37" s="121">
        <f>'BM 01'!G37</f>
        <v>0</v>
      </c>
      <c r="G37" s="121"/>
      <c r="H37" s="301" t="e">
        <f t="shared" si="0"/>
        <v>#REF!</v>
      </c>
      <c r="I37" s="301">
        <f t="shared" si="1"/>
        <v>0</v>
      </c>
      <c r="J37" s="301">
        <f t="shared" si="2"/>
        <v>0</v>
      </c>
      <c r="K37" s="298"/>
      <c r="L37" s="298"/>
      <c r="M37" s="305"/>
      <c r="N37" s="298"/>
    </row>
    <row r="38" spans="1:14" ht="13.9" customHeight="1" x14ac:dyDescent="0.2">
      <c r="A38" s="296" t="e">
        <f>PLAN!#REF!</f>
        <v>#REF!</v>
      </c>
      <c r="B38" s="299" t="e">
        <f>PLAN!#REF!</f>
        <v>#REF!</v>
      </c>
      <c r="C38" s="296" t="e">
        <f>PLAN!#REF!</f>
        <v>#REF!</v>
      </c>
      <c r="D38" s="121" t="e">
        <f>PLAN!#REF!</f>
        <v>#REF!</v>
      </c>
      <c r="E38" s="121" t="e">
        <f>'BM 01'!F38</f>
        <v>#REF!</v>
      </c>
      <c r="F38" s="121" t="e">
        <f>'BM 01'!G38</f>
        <v>#REF!</v>
      </c>
      <c r="G38" s="121"/>
      <c r="H38" s="301" t="e">
        <f t="shared" si="0"/>
        <v>#REF!</v>
      </c>
      <c r="I38" s="301" t="e">
        <f t="shared" si="1"/>
        <v>#REF!</v>
      </c>
      <c r="J38" s="301" t="e">
        <f t="shared" si="2"/>
        <v>#REF!</v>
      </c>
      <c r="K38" s="298"/>
      <c r="L38" s="298"/>
      <c r="M38" s="305"/>
      <c r="N38" s="298"/>
    </row>
    <row r="39" spans="1:14" ht="13.9" customHeight="1" x14ac:dyDescent="0.2">
      <c r="A39" s="296" t="e">
        <f>PLAN!#REF!</f>
        <v>#REF!</v>
      </c>
      <c r="B39" s="299" t="e">
        <f>PLAN!#REF!</f>
        <v>#REF!</v>
      </c>
      <c r="C39" s="296" t="e">
        <f>PLAN!#REF!</f>
        <v>#REF!</v>
      </c>
      <c r="D39" s="121" t="e">
        <f>PLAN!#REF!</f>
        <v>#REF!</v>
      </c>
      <c r="E39" s="121" t="e">
        <f>'BM 01'!F39</f>
        <v>#REF!</v>
      </c>
      <c r="F39" s="121" t="e">
        <f>'BM 01'!G39</f>
        <v>#REF!</v>
      </c>
      <c r="G39" s="121"/>
      <c r="H39" s="301" t="e">
        <f t="shared" si="0"/>
        <v>#REF!</v>
      </c>
      <c r="I39" s="301" t="e">
        <f t="shared" si="1"/>
        <v>#REF!</v>
      </c>
      <c r="J39" s="301" t="e">
        <f t="shared" si="2"/>
        <v>#REF!</v>
      </c>
      <c r="K39" s="298"/>
      <c r="L39" s="298"/>
      <c r="M39" s="305"/>
      <c r="N39" s="298"/>
    </row>
    <row r="40" spans="1:14" ht="13.9" customHeight="1" x14ac:dyDescent="0.2">
      <c r="A40" s="296" t="e">
        <f>PLAN!#REF!</f>
        <v>#REF!</v>
      </c>
      <c r="B40" s="299" t="e">
        <f>PLAN!#REF!</f>
        <v>#REF!</v>
      </c>
      <c r="C40" s="296" t="e">
        <f>PLAN!#REF!</f>
        <v>#REF!</v>
      </c>
      <c r="D40" s="121" t="e">
        <f>PLAN!#REF!</f>
        <v>#REF!</v>
      </c>
      <c r="E40" s="121" t="e">
        <f>'BM 01'!F40</f>
        <v>#REF!</v>
      </c>
      <c r="F40" s="121" t="e">
        <f>'BM 01'!G40</f>
        <v>#REF!</v>
      </c>
      <c r="G40" s="121"/>
      <c r="H40" s="301" t="e">
        <f t="shared" si="0"/>
        <v>#REF!</v>
      </c>
      <c r="I40" s="301" t="e">
        <f t="shared" si="1"/>
        <v>#REF!</v>
      </c>
      <c r="J40" s="301" t="e">
        <f t="shared" si="2"/>
        <v>#REF!</v>
      </c>
      <c r="K40" s="298"/>
      <c r="L40" s="298"/>
      <c r="M40" s="305"/>
      <c r="N40" s="298"/>
    </row>
    <row r="41" spans="1:14" ht="13.9" customHeight="1" x14ac:dyDescent="0.2">
      <c r="A41" s="296" t="e">
        <f>PLAN!#REF!</f>
        <v>#REF!</v>
      </c>
      <c r="B41" s="299" t="e">
        <f>PLAN!#REF!</f>
        <v>#REF!</v>
      </c>
      <c r="C41" s="296" t="e">
        <f>PLAN!#REF!</f>
        <v>#REF!</v>
      </c>
      <c r="D41" s="121" t="e">
        <f>PLAN!#REF!</f>
        <v>#REF!</v>
      </c>
      <c r="E41" s="121">
        <f>'BM 01'!F41</f>
        <v>0</v>
      </c>
      <c r="F41" s="121">
        <f>'BM 01'!G41</f>
        <v>0</v>
      </c>
      <c r="G41" s="121"/>
      <c r="H41" s="301" t="e">
        <f t="shared" si="0"/>
        <v>#REF!</v>
      </c>
      <c r="I41" s="301">
        <f t="shared" si="1"/>
        <v>0</v>
      </c>
      <c r="J41" s="301">
        <f t="shared" si="2"/>
        <v>0</v>
      </c>
      <c r="K41" s="298"/>
      <c r="L41" s="298"/>
      <c r="M41" s="305"/>
      <c r="N41" s="298"/>
    </row>
    <row r="42" spans="1:14" ht="13.9" customHeight="1" x14ac:dyDescent="0.2">
      <c r="A42" s="296" t="e">
        <f>PLAN!#REF!</f>
        <v>#REF!</v>
      </c>
      <c r="B42" s="299" t="e">
        <f>PLAN!#REF!</f>
        <v>#REF!</v>
      </c>
      <c r="C42" s="296" t="e">
        <f>PLAN!#REF!</f>
        <v>#REF!</v>
      </c>
      <c r="D42" s="121" t="e">
        <f>PLAN!#REF!</f>
        <v>#REF!</v>
      </c>
      <c r="E42" s="121" t="e">
        <f>'BM 01'!F42</f>
        <v>#REF!</v>
      </c>
      <c r="F42" s="121" t="e">
        <f>'BM 01'!G42</f>
        <v>#REF!</v>
      </c>
      <c r="G42" s="121"/>
      <c r="H42" s="301" t="e">
        <f t="shared" si="0"/>
        <v>#REF!</v>
      </c>
      <c r="I42" s="301" t="e">
        <f t="shared" si="1"/>
        <v>#REF!</v>
      </c>
      <c r="J42" s="301" t="e">
        <f t="shared" si="2"/>
        <v>#REF!</v>
      </c>
      <c r="K42" s="298"/>
      <c r="L42" s="298"/>
      <c r="M42" s="305"/>
      <c r="N42" s="298"/>
    </row>
    <row r="43" spans="1:14" ht="13.9" customHeight="1" x14ac:dyDescent="0.2">
      <c r="A43" s="296" t="e">
        <f>PLAN!#REF!</f>
        <v>#REF!</v>
      </c>
      <c r="B43" s="299" t="e">
        <f>PLAN!#REF!</f>
        <v>#REF!</v>
      </c>
      <c r="C43" s="296" t="e">
        <f>PLAN!#REF!</f>
        <v>#REF!</v>
      </c>
      <c r="D43" s="121" t="e">
        <f>PLAN!#REF!</f>
        <v>#REF!</v>
      </c>
      <c r="E43" s="121" t="e">
        <f>'BM 01'!F43</f>
        <v>#REF!</v>
      </c>
      <c r="F43" s="121" t="e">
        <f>'BM 01'!G43</f>
        <v>#REF!</v>
      </c>
      <c r="G43" s="121"/>
      <c r="H43" s="301" t="e">
        <f t="shared" si="0"/>
        <v>#REF!</v>
      </c>
      <c r="I43" s="301" t="e">
        <f t="shared" si="1"/>
        <v>#REF!</v>
      </c>
      <c r="J43" s="301" t="e">
        <f t="shared" si="2"/>
        <v>#REF!</v>
      </c>
      <c r="K43" s="298"/>
      <c r="L43" s="298"/>
      <c r="M43" s="305"/>
      <c r="N43" s="298"/>
    </row>
    <row r="44" spans="1:14" ht="13.9" customHeight="1" x14ac:dyDescent="0.2">
      <c r="A44" s="296" t="e">
        <f>PLAN!#REF!</f>
        <v>#REF!</v>
      </c>
      <c r="B44" s="299" t="e">
        <f>PLAN!#REF!</f>
        <v>#REF!</v>
      </c>
      <c r="C44" s="296" t="e">
        <f>PLAN!#REF!</f>
        <v>#REF!</v>
      </c>
      <c r="D44" s="121" t="e">
        <f>PLAN!#REF!</f>
        <v>#REF!</v>
      </c>
      <c r="E44" s="121" t="e">
        <f>'BM 01'!F44</f>
        <v>#REF!</v>
      </c>
      <c r="F44" s="121" t="e">
        <f>'BM 01'!G44</f>
        <v>#REF!</v>
      </c>
      <c r="G44" s="121"/>
      <c r="H44" s="301" t="e">
        <f t="shared" si="0"/>
        <v>#REF!</v>
      </c>
      <c r="I44" s="301" t="e">
        <f t="shared" si="1"/>
        <v>#REF!</v>
      </c>
      <c r="J44" s="301" t="e">
        <f t="shared" si="2"/>
        <v>#REF!</v>
      </c>
      <c r="K44" s="336"/>
      <c r="L44" s="298"/>
      <c r="M44" s="305"/>
      <c r="N44" s="298"/>
    </row>
    <row r="45" spans="1:14" ht="13.9" customHeight="1" x14ac:dyDescent="0.2">
      <c r="A45" s="655" t="s">
        <v>147</v>
      </c>
      <c r="B45" s="656"/>
      <c r="C45" s="656"/>
      <c r="D45" s="656"/>
      <c r="E45" s="657"/>
      <c r="F45" s="340" t="e">
        <f>SUM(F8:F44)</f>
        <v>#REF!</v>
      </c>
      <c r="G45" s="341"/>
      <c r="H45" s="341"/>
      <c r="I45" s="342" t="e">
        <f>SUM(I8:I44)</f>
        <v>#REF!</v>
      </c>
      <c r="J45" s="342" t="e">
        <f>SUM(J8:J44)</f>
        <v>#REF!</v>
      </c>
      <c r="M45" s="298"/>
      <c r="N45" s="298"/>
    </row>
    <row r="46" spans="1:14" ht="13.9" customHeight="1" x14ac:dyDescent="0.2">
      <c r="A46" s="306"/>
      <c r="B46" s="307"/>
      <c r="C46" s="308"/>
      <c r="D46" s="309"/>
      <c r="E46" s="310"/>
      <c r="F46" s="307"/>
      <c r="G46" s="307"/>
      <c r="H46" s="307"/>
      <c r="I46" s="307"/>
      <c r="J46" s="307"/>
      <c r="M46" s="298"/>
      <c r="N46" s="298"/>
    </row>
    <row r="47" spans="1:14" ht="13.9" customHeight="1" x14ac:dyDescent="0.2">
      <c r="A47" s="306"/>
      <c r="B47" s="307"/>
      <c r="C47" s="308"/>
      <c r="D47" s="309"/>
      <c r="E47" s="310"/>
      <c r="F47" s="307"/>
      <c r="G47" s="307"/>
      <c r="H47" s="307"/>
      <c r="I47" s="307"/>
      <c r="J47" s="307"/>
      <c r="M47" s="298"/>
      <c r="N47" s="298"/>
    </row>
    <row r="48" spans="1:14" ht="13.9" customHeight="1" x14ac:dyDescent="0.2">
      <c r="A48" s="306"/>
      <c r="B48" s="307"/>
      <c r="C48" s="308"/>
      <c r="D48" s="309"/>
      <c r="E48" s="310"/>
      <c r="F48" s="307"/>
      <c r="G48" s="307"/>
      <c r="H48" s="307"/>
      <c r="I48" s="307"/>
      <c r="J48" s="307"/>
      <c r="M48" s="298"/>
      <c r="N48" s="298"/>
    </row>
    <row r="49" spans="1:14" s="244" customFormat="1" ht="13.9" customHeight="1" x14ac:dyDescent="0.2">
      <c r="A49" s="311"/>
      <c r="B49" s="338" t="s">
        <v>135</v>
      </c>
      <c r="C49" s="307"/>
      <c r="D49" s="307"/>
      <c r="E49" s="307"/>
      <c r="F49" s="307"/>
      <c r="G49" s="307"/>
      <c r="H49" s="307"/>
      <c r="I49" s="289"/>
      <c r="J49" s="312"/>
      <c r="M49" s="289"/>
      <c r="N49" s="305"/>
    </row>
    <row r="50" spans="1:14" s="244" customFormat="1" ht="13.9" customHeight="1" x14ac:dyDescent="0.2">
      <c r="A50" s="311"/>
      <c r="B50" s="339" t="s">
        <v>137</v>
      </c>
      <c r="C50" s="307"/>
      <c r="D50" s="307"/>
      <c r="E50" s="307"/>
      <c r="F50" s="307"/>
      <c r="G50" s="307"/>
      <c r="H50" s="307"/>
      <c r="I50" s="313"/>
      <c r="J50" s="314"/>
      <c r="M50" s="289"/>
      <c r="N50" s="289"/>
    </row>
    <row r="51" spans="1:14" s="244" customFormat="1" ht="13.9" customHeight="1" x14ac:dyDescent="0.2">
      <c r="A51" s="315"/>
      <c r="B51" s="331" t="s">
        <v>140</v>
      </c>
      <c r="C51" s="289"/>
      <c r="D51" s="316"/>
      <c r="E51" s="316"/>
      <c r="F51" s="273"/>
      <c r="G51" s="316"/>
      <c r="H51" s="289"/>
      <c r="I51" s="317"/>
      <c r="J51" s="318"/>
      <c r="M51" s="289"/>
      <c r="N51" s="289"/>
    </row>
    <row r="52" spans="1:14" x14ac:dyDescent="0.2">
      <c r="A52" s="298"/>
      <c r="B52" s="298"/>
      <c r="C52" s="319"/>
      <c r="D52" s="320"/>
      <c r="E52" s="321"/>
      <c r="F52" s="298"/>
      <c r="G52" s="298"/>
      <c r="I52" s="367" t="s">
        <v>190</v>
      </c>
      <c r="J52" s="368"/>
      <c r="M52" s="298"/>
      <c r="N52" s="298"/>
    </row>
    <row r="53" spans="1:14" x14ac:dyDescent="0.2">
      <c r="A53" s="298"/>
      <c r="B53" s="322"/>
      <c r="C53" s="319"/>
      <c r="D53" s="320"/>
      <c r="E53" s="321"/>
      <c r="I53" s="377"/>
      <c r="J53" s="369"/>
      <c r="K53" s="305"/>
      <c r="L53" s="298"/>
      <c r="M53" s="298"/>
      <c r="N53" s="298"/>
    </row>
    <row r="54" spans="1:14" x14ac:dyDescent="0.2">
      <c r="A54" s="298"/>
      <c r="B54" s="322"/>
      <c r="C54" s="319"/>
      <c r="D54" s="320"/>
      <c r="E54" s="321"/>
      <c r="I54" s="370" t="s">
        <v>148</v>
      </c>
      <c r="J54" s="371"/>
      <c r="K54" s="305"/>
      <c r="L54" s="298"/>
      <c r="M54" s="298"/>
      <c r="N54" s="298"/>
    </row>
    <row r="55" spans="1:14" x14ac:dyDescent="0.2">
      <c r="A55" s="298"/>
      <c r="B55" s="322"/>
      <c r="C55" s="319"/>
      <c r="D55" s="320"/>
      <c r="E55" s="321"/>
      <c r="I55" s="376" t="e">
        <f>J45-I53</f>
        <v>#REF!</v>
      </c>
      <c r="J55" s="372"/>
      <c r="K55" s="298"/>
      <c r="L55" s="298"/>
      <c r="M55" s="298"/>
      <c r="N55" s="298"/>
    </row>
    <row r="56" spans="1:14" x14ac:dyDescent="0.2">
      <c r="A56" s="298"/>
      <c r="B56" s="322"/>
      <c r="C56" s="319"/>
      <c r="D56" s="320"/>
      <c r="E56" s="321"/>
      <c r="F56" s="298"/>
      <c r="G56" s="298"/>
      <c r="I56" s="140" t="s">
        <v>149</v>
      </c>
      <c r="J56" s="140">
        <f>PLAN!H84</f>
        <v>842254.45</v>
      </c>
      <c r="K56" s="298"/>
      <c r="L56" s="298"/>
      <c r="M56" s="298"/>
      <c r="N56" s="298"/>
    </row>
    <row r="57" spans="1:14" x14ac:dyDescent="0.2">
      <c r="A57" s="298"/>
      <c r="B57" s="298"/>
      <c r="C57" s="319"/>
      <c r="D57" s="320"/>
      <c r="E57" s="321"/>
      <c r="F57" s="298"/>
      <c r="G57" s="294"/>
      <c r="I57" s="373" t="s">
        <v>150</v>
      </c>
      <c r="J57" s="140" t="e">
        <f>'BM 01'!G65</f>
        <v>#REF!</v>
      </c>
      <c r="K57" s="298"/>
      <c r="L57" s="298"/>
      <c r="M57" s="298"/>
      <c r="N57" s="298"/>
    </row>
    <row r="58" spans="1:14" x14ac:dyDescent="0.2">
      <c r="A58" s="298"/>
      <c r="B58" s="322"/>
      <c r="C58" s="319"/>
      <c r="D58" s="320"/>
      <c r="E58" s="321"/>
      <c r="F58" s="298"/>
      <c r="G58" s="334"/>
      <c r="I58" s="374" t="s">
        <v>151</v>
      </c>
      <c r="J58" s="375" t="e">
        <f>J57/J56</f>
        <v>#REF!</v>
      </c>
      <c r="K58" s="298"/>
      <c r="L58" s="298"/>
      <c r="M58" s="298"/>
      <c r="N58" s="298"/>
    </row>
    <row r="59" spans="1:14" x14ac:dyDescent="0.2">
      <c r="A59" s="298"/>
      <c r="B59" s="298"/>
      <c r="C59" s="319"/>
      <c r="D59" s="320"/>
      <c r="E59" s="321"/>
      <c r="F59" s="298"/>
      <c r="G59" s="334"/>
      <c r="H59" s="294"/>
      <c r="I59" s="298"/>
      <c r="J59" s="298"/>
      <c r="K59" s="298"/>
      <c r="L59" s="298"/>
      <c r="M59" s="298"/>
      <c r="N59" s="298"/>
    </row>
    <row r="60" spans="1:14" x14ac:dyDescent="0.2">
      <c r="A60" s="298"/>
      <c r="B60" s="298"/>
      <c r="C60" s="319"/>
      <c r="D60" s="320"/>
      <c r="E60" s="321"/>
      <c r="F60" s="298"/>
      <c r="G60" s="334"/>
      <c r="H60" s="298"/>
      <c r="I60" s="305"/>
      <c r="J60" s="298"/>
      <c r="K60" s="305"/>
      <c r="L60" s="298"/>
      <c r="M60" s="298"/>
      <c r="N60" s="298"/>
    </row>
    <row r="61" spans="1:14" x14ac:dyDescent="0.2">
      <c r="A61" s="298"/>
      <c r="B61" s="298"/>
      <c r="C61" s="319"/>
      <c r="D61" s="320"/>
      <c r="E61" s="321"/>
      <c r="F61" s="298"/>
      <c r="G61" s="334"/>
      <c r="H61" s="294"/>
      <c r="I61" s="305"/>
      <c r="J61" s="298"/>
      <c r="K61" s="305"/>
      <c r="L61" s="298"/>
      <c r="M61" s="298"/>
      <c r="N61" s="298"/>
    </row>
    <row r="62" spans="1:14" x14ac:dyDescent="0.2">
      <c r="A62" s="290"/>
      <c r="B62" s="290"/>
      <c r="C62" s="291"/>
      <c r="D62" s="292"/>
      <c r="E62" s="293"/>
      <c r="F62" s="290"/>
      <c r="G62" s="295"/>
      <c r="H62" s="290"/>
      <c r="I62" s="290"/>
      <c r="J62" s="290"/>
      <c r="K62" s="290"/>
      <c r="L62" s="290"/>
      <c r="M62" s="290"/>
      <c r="N62" s="290"/>
    </row>
    <row r="63" spans="1:14" x14ac:dyDescent="0.2">
      <c r="G63" s="250"/>
    </row>
    <row r="64" spans="1:14" x14ac:dyDescent="0.2">
      <c r="G64" s="251"/>
      <c r="H64" s="249"/>
    </row>
    <row r="65" spans="7:8" x14ac:dyDescent="0.2">
      <c r="G65" s="251"/>
      <c r="H65" s="249"/>
    </row>
    <row r="66" spans="7:8" x14ac:dyDescent="0.2">
      <c r="H66" s="249"/>
    </row>
  </sheetData>
  <dataConsolidate topLabels="1" link="1"/>
  <mergeCells count="11">
    <mergeCell ref="A5:G5"/>
    <mergeCell ref="A6:G6"/>
    <mergeCell ref="H6:I6"/>
    <mergeCell ref="A45:E45"/>
    <mergeCell ref="B1:J1"/>
    <mergeCell ref="H2:I2"/>
    <mergeCell ref="H3:I3"/>
    <mergeCell ref="H4:I4"/>
    <mergeCell ref="H5:I5"/>
    <mergeCell ref="A2:G2"/>
    <mergeCell ref="A4:G4"/>
  </mergeCells>
  <printOptions gridLines="1"/>
  <pageMargins left="0.19685039370078741" right="0.19685039370078741" top="0.39370078740157483" bottom="0.19685039370078741" header="0" footer="0"/>
  <pageSetup paperSize="9" scale="75" orientation="landscape" r:id="rId1"/>
  <headerFooter alignWithMargins="0">
    <oddFooter>&amp;CFolha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12</vt:i4>
      </vt:variant>
      <vt:variant>
        <vt:lpstr>Intervalos Nomeados</vt:lpstr>
      </vt:variant>
      <vt:variant>
        <vt:i4>28</vt:i4>
      </vt:variant>
    </vt:vector>
  </HeadingPairs>
  <TitlesOfParts>
    <vt:vector size="40" baseType="lpstr">
      <vt:lpstr>MEM</vt:lpstr>
      <vt:lpstr>PLAN</vt:lpstr>
      <vt:lpstr>CRON1</vt:lpstr>
      <vt:lpstr>CRON2</vt:lpstr>
      <vt:lpstr>FOTOS</vt:lpstr>
      <vt:lpstr>BDI</vt:lpstr>
      <vt:lpstr>BDI-Dados</vt:lpstr>
      <vt:lpstr>BM 01</vt:lpstr>
      <vt:lpstr>BM 01-Fot</vt:lpstr>
      <vt:lpstr>BM 02</vt:lpstr>
      <vt:lpstr>BM 02-Fot</vt:lpstr>
      <vt:lpstr>ADIT</vt:lpstr>
      <vt:lpstr>ADIT!Area_de_impressao</vt:lpstr>
      <vt:lpstr>BDI!Area_de_impressao</vt:lpstr>
      <vt:lpstr>'BM 01'!Area_de_impressao</vt:lpstr>
      <vt:lpstr>'BM 01-Fot'!Area_de_impressao</vt:lpstr>
      <vt:lpstr>'BM 02'!Area_de_impressao</vt:lpstr>
      <vt:lpstr>'BM 02-Fot'!Area_de_impressao</vt:lpstr>
      <vt:lpstr>CRON1!Area_de_impressao</vt:lpstr>
      <vt:lpstr>CRON2!Area_de_impressao</vt:lpstr>
      <vt:lpstr>FOTOS!Area_de_impressao</vt:lpstr>
      <vt:lpstr>MEM!Area_de_impressao</vt:lpstr>
      <vt:lpstr>PLAN!Area_de_impressao</vt:lpstr>
      <vt:lpstr>'BM 01'!Print_Area</vt:lpstr>
      <vt:lpstr>'BM 01-Fot'!Print_Area</vt:lpstr>
      <vt:lpstr>'BM 02'!Print_Area</vt:lpstr>
      <vt:lpstr>'BM 02-Fot'!Print_Area</vt:lpstr>
      <vt:lpstr>FOTOS!Print_Area</vt:lpstr>
      <vt:lpstr>'BM 01-Fot'!Print_Titles</vt:lpstr>
      <vt:lpstr>'BM 02-Fot'!Print_Titles</vt:lpstr>
      <vt:lpstr>FOTOS!Print_Titles</vt:lpstr>
      <vt:lpstr>sigla_obras</vt:lpstr>
      <vt:lpstr>sigla_sn</vt:lpstr>
      <vt:lpstr>ADIT!Titulos_de_impressao</vt:lpstr>
      <vt:lpstr>'BM 01'!Titulos_de_impressao</vt:lpstr>
      <vt:lpstr>'BM 01-Fot'!Titulos_de_impressao</vt:lpstr>
      <vt:lpstr>'BM 02'!Titulos_de_impressao</vt:lpstr>
      <vt:lpstr>'BM 02-Fot'!Titulos_de_impressao</vt:lpstr>
      <vt:lpstr>MEM!Titulos_de_impressao</vt:lpstr>
      <vt:lpstr>PLAN!Titulos_de_impressao</vt:lpstr>
    </vt:vector>
  </TitlesOfParts>
  <Company>Setop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Setop</dc:creator>
  <cp:lastModifiedBy>informatiza informatiza</cp:lastModifiedBy>
  <cp:lastPrinted>2026-09-29T10:39:07Z</cp:lastPrinted>
  <dcterms:created xsi:type="dcterms:W3CDTF">2006-09-22T13:55:22Z</dcterms:created>
  <dcterms:modified xsi:type="dcterms:W3CDTF">2026-09-29T17:32:31Z</dcterms:modified>
</cp:coreProperties>
</file>