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Informatiza\Downloads\"/>
    </mc:Choice>
  </mc:AlternateContent>
  <xr:revisionPtr revIDLastSave="0" documentId="8_{F72D0142-154E-4A05-8CA2-CAF15609EE88}" xr6:coauthVersionLast="47" xr6:coauthVersionMax="47" xr10:uidLastSave="{00000000-0000-0000-0000-000000000000}"/>
  <bookViews>
    <workbookView xWindow="-120" yWindow="-120" windowWidth="29040" windowHeight="15720" tabRatio="706" activeTab="1" xr2:uid="{C448D1BB-41BF-4BAA-A3E0-40F40797A19E}"/>
  </bookViews>
  <sheets>
    <sheet name="MEM" sheetId="8" r:id="rId1"/>
    <sheet name="PLAN" sheetId="5" r:id="rId2"/>
    <sheet name="CRON1" sheetId="7" r:id="rId3"/>
    <sheet name="CRON2" sheetId="20" r:id="rId4"/>
    <sheet name="FOTOS" sheetId="19" r:id="rId5"/>
    <sheet name="BDI" sheetId="10" r:id="rId6"/>
    <sheet name="BDI-Dados" sheetId="11" r:id="rId7"/>
  </sheets>
  <externalReferences>
    <externalReference r:id="rId8"/>
    <externalReference r:id="rId9"/>
  </externalReferences>
  <definedNames>
    <definedName name="_xlnm.Print_Area" localSheetId="5">BDI!$A$2:$E$47</definedName>
    <definedName name="_xlnm.Print_Area" localSheetId="2">CRON1!$A$2:$K$63</definedName>
    <definedName name="_xlnm.Print_Area" localSheetId="3">CRON2!$A$2:$K$63</definedName>
    <definedName name="_xlnm.Print_Area" localSheetId="4">FOTOS!$A$1:$L$53</definedName>
    <definedName name="_xlnm.Print_Area" localSheetId="0">MEM!$A$1:$L$77</definedName>
    <definedName name="_xlnm.Print_Area" localSheetId="1">PLAN!$A$1:$H$82</definedName>
    <definedName name="NOME1" localSheetId="4">#REF!</definedName>
    <definedName name="NOME1">#REF!</definedName>
    <definedName name="NOME2" localSheetId="4">#REF!</definedName>
    <definedName name="NOME2">#REF!</definedName>
    <definedName name="Print_Area" localSheetId="4">FOTOS!$A$1:$L$53</definedName>
    <definedName name="Print_Titles" localSheetId="4">FOTOS!$1:$4</definedName>
    <definedName name="sigla_obras" localSheetId="4">'[1]Base dados - TCU 2622_2013'!$A$7:$A$14</definedName>
    <definedName name="sigla_obras">'BDI-Dados'!$A$7:$A$14</definedName>
    <definedName name="sigla_sn" localSheetId="4">'[1]Base dados - TCU 2622_2013'!$A$2:$A$3</definedName>
    <definedName name="sigla_sn">'BDI-Dados'!$A$2:$A$3</definedName>
    <definedName name="_xlnm.Print_Titles" localSheetId="0">MEM!$1:$5</definedName>
    <definedName name="_xlnm.Print_Titles" localSheetId="1">PLAN!$1:$8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7" l="1"/>
  <c r="M66" i="8"/>
  <c r="M67" i="8" s="1"/>
  <c r="L67" i="8" s="1"/>
  <c r="E70" i="5" s="1"/>
  <c r="E68" i="5"/>
  <c r="E71" i="5"/>
  <c r="E72" i="5"/>
  <c r="E73" i="5"/>
  <c r="E74" i="5"/>
  <c r="E75" i="5"/>
  <c r="E76" i="5"/>
  <c r="J70" i="8"/>
  <c r="J71" i="8"/>
  <c r="J72" i="8"/>
  <c r="J73" i="8"/>
  <c r="J69" i="8"/>
  <c r="J68" i="8"/>
  <c r="K68" i="8"/>
  <c r="K67" i="8"/>
  <c r="J67" i="8"/>
  <c r="K66" i="8"/>
  <c r="K65" i="8"/>
  <c r="K69" i="8"/>
  <c r="K70" i="8"/>
  <c r="K71" i="8"/>
  <c r="K72" i="8"/>
  <c r="K73" i="8"/>
  <c r="B73" i="8"/>
  <c r="A73" i="8"/>
  <c r="B72" i="8"/>
  <c r="A72" i="8"/>
  <c r="B71" i="8"/>
  <c r="A71" i="8"/>
  <c r="B70" i="8"/>
  <c r="A70" i="8"/>
  <c r="B69" i="8"/>
  <c r="A69" i="8"/>
  <c r="B68" i="8"/>
  <c r="A68" i="8"/>
  <c r="B67" i="8"/>
  <c r="A67" i="8"/>
  <c r="B66" i="8"/>
  <c r="A66" i="8"/>
  <c r="B65" i="8"/>
  <c r="A65" i="8"/>
  <c r="G69" i="5"/>
  <c r="G70" i="5"/>
  <c r="G71" i="5"/>
  <c r="G72" i="5"/>
  <c r="G73" i="5"/>
  <c r="G74" i="5"/>
  <c r="G75" i="5"/>
  <c r="G76" i="5"/>
  <c r="G68" i="5"/>
  <c r="E44" i="5"/>
  <c r="A41" i="8"/>
  <c r="B41" i="8"/>
  <c r="K41" i="8"/>
  <c r="G44" i="5"/>
  <c r="G45" i="5"/>
  <c r="L15" i="8"/>
  <c r="J16" i="5"/>
  <c r="L54" i="20"/>
  <c r="L52" i="20"/>
  <c r="L50" i="20"/>
  <c r="L48" i="20"/>
  <c r="L46" i="20"/>
  <c r="L44" i="20"/>
  <c r="M44" i="20" s="1"/>
  <c r="L42" i="20"/>
  <c r="M42" i="20" s="1"/>
  <c r="L40" i="20"/>
  <c r="M40" i="20" s="1"/>
  <c r="L38" i="20"/>
  <c r="L36" i="20"/>
  <c r="L34" i="20"/>
  <c r="L32" i="20"/>
  <c r="L30" i="20"/>
  <c r="L12" i="20"/>
  <c r="L53" i="20"/>
  <c r="L51" i="20"/>
  <c r="L49" i="20"/>
  <c r="L47" i="20"/>
  <c r="L45" i="20"/>
  <c r="L43" i="20"/>
  <c r="L41" i="20"/>
  <c r="L39" i="20"/>
  <c r="L37" i="20"/>
  <c r="L35" i="20"/>
  <c r="L33" i="20"/>
  <c r="L31" i="20"/>
  <c r="L29" i="20"/>
  <c r="L11" i="20"/>
  <c r="L9" i="20"/>
  <c r="E12" i="20"/>
  <c r="C27" i="7"/>
  <c r="C27" i="20" s="1"/>
  <c r="C25" i="7"/>
  <c r="C25" i="20" s="1"/>
  <c r="C23" i="7"/>
  <c r="C23" i="20" s="1"/>
  <c r="C21" i="7"/>
  <c r="C21" i="20" s="1"/>
  <c r="C19" i="7"/>
  <c r="C19" i="20" s="1"/>
  <c r="C17" i="7"/>
  <c r="C17" i="20" s="1"/>
  <c r="C15" i="7"/>
  <c r="C15" i="20" s="1"/>
  <c r="C13" i="7"/>
  <c r="C13" i="20" s="1"/>
  <c r="C11" i="7"/>
  <c r="C11" i="20" s="1"/>
  <c r="C9" i="7"/>
  <c r="C9" i="20" s="1"/>
  <c r="C7" i="7"/>
  <c r="C7" i="20" s="1"/>
  <c r="A27" i="7"/>
  <c r="A27" i="20" s="1"/>
  <c r="A25" i="7"/>
  <c r="A25" i="20" s="1"/>
  <c r="A23" i="7"/>
  <c r="A23" i="20" s="1"/>
  <c r="A21" i="7"/>
  <c r="A21" i="20" s="1"/>
  <c r="A19" i="7"/>
  <c r="A19" i="20" s="1"/>
  <c r="A17" i="7"/>
  <c r="A17" i="20" s="1"/>
  <c r="A15" i="7"/>
  <c r="A15" i="20" s="1"/>
  <c r="A13" i="7"/>
  <c r="A13" i="20" s="1"/>
  <c r="M54" i="20"/>
  <c r="M52" i="20"/>
  <c r="M50" i="20"/>
  <c r="M48" i="20"/>
  <c r="M46" i="20"/>
  <c r="M38" i="20"/>
  <c r="M36" i="20"/>
  <c r="M34" i="20"/>
  <c r="M32" i="20"/>
  <c r="M30" i="20"/>
  <c r="K54" i="20"/>
  <c r="J54" i="20"/>
  <c r="I54" i="20"/>
  <c r="H54" i="20"/>
  <c r="G54" i="20"/>
  <c r="F54" i="20"/>
  <c r="K52" i="20"/>
  <c r="J52" i="20"/>
  <c r="I52" i="20"/>
  <c r="H52" i="20"/>
  <c r="G52" i="20"/>
  <c r="F52" i="20"/>
  <c r="K50" i="20"/>
  <c r="J50" i="20"/>
  <c r="I50" i="20"/>
  <c r="H50" i="20"/>
  <c r="G50" i="20"/>
  <c r="F50" i="20"/>
  <c r="K48" i="20"/>
  <c r="J48" i="20"/>
  <c r="I48" i="20"/>
  <c r="H48" i="20"/>
  <c r="G48" i="20"/>
  <c r="F48" i="20"/>
  <c r="K46" i="20"/>
  <c r="J46" i="20"/>
  <c r="I46" i="20"/>
  <c r="H46" i="20"/>
  <c r="G46" i="20"/>
  <c r="F46" i="20"/>
  <c r="K44" i="20"/>
  <c r="J44" i="20"/>
  <c r="I44" i="20"/>
  <c r="H44" i="20"/>
  <c r="G44" i="20"/>
  <c r="F44" i="20"/>
  <c r="K42" i="20"/>
  <c r="J42" i="20"/>
  <c r="I42" i="20"/>
  <c r="H42" i="20"/>
  <c r="G42" i="20"/>
  <c r="F42" i="20"/>
  <c r="K40" i="20"/>
  <c r="J40" i="20"/>
  <c r="I40" i="20"/>
  <c r="H40" i="20"/>
  <c r="G40" i="20"/>
  <c r="F40" i="20"/>
  <c r="K38" i="20"/>
  <c r="J38" i="20"/>
  <c r="I38" i="20"/>
  <c r="H38" i="20"/>
  <c r="G38" i="20"/>
  <c r="F38" i="20"/>
  <c r="K36" i="20"/>
  <c r="J36" i="20"/>
  <c r="I36" i="20"/>
  <c r="H36" i="20"/>
  <c r="G36" i="20"/>
  <c r="F36" i="20"/>
  <c r="K34" i="20"/>
  <c r="J34" i="20"/>
  <c r="I34" i="20"/>
  <c r="H34" i="20"/>
  <c r="G34" i="20"/>
  <c r="F34" i="20"/>
  <c r="K32" i="20"/>
  <c r="J32" i="20"/>
  <c r="I32" i="20"/>
  <c r="H32" i="20"/>
  <c r="G32" i="20"/>
  <c r="F32" i="20"/>
  <c r="K30" i="20"/>
  <c r="J30" i="20"/>
  <c r="I30" i="20"/>
  <c r="H30" i="20"/>
  <c r="G30" i="20"/>
  <c r="F30" i="20"/>
  <c r="K12" i="20"/>
  <c r="J12" i="20"/>
  <c r="I12" i="20"/>
  <c r="H12" i="20"/>
  <c r="G12" i="20"/>
  <c r="F12" i="20"/>
  <c r="J5" i="20"/>
  <c r="I5" i="20"/>
  <c r="D5" i="20"/>
  <c r="A5" i="20"/>
  <c r="I4" i="20"/>
  <c r="H76" i="5" l="1"/>
  <c r="L66" i="8"/>
  <c r="E69" i="5" s="1"/>
  <c r="H74" i="5"/>
  <c r="H71" i="5"/>
  <c r="H72" i="5"/>
  <c r="H75" i="5"/>
  <c r="H73" i="5"/>
  <c r="H70" i="5"/>
  <c r="H69" i="5"/>
  <c r="H68" i="5"/>
  <c r="H44" i="5"/>
  <c r="M12" i="20"/>
  <c r="I76" i="5" l="1"/>
  <c r="M56" i="8"/>
  <c r="M57" i="8" s="1"/>
  <c r="L57" i="8" s="1"/>
  <c r="E60" i="5" s="1"/>
  <c r="L29" i="8"/>
  <c r="M22" i="8"/>
  <c r="M16" i="8"/>
  <c r="E13" i="5"/>
  <c r="E16" i="5"/>
  <c r="E17" i="5"/>
  <c r="E18" i="5"/>
  <c r="E20" i="5"/>
  <c r="E24" i="5"/>
  <c r="E31" i="5"/>
  <c r="E34" i="5"/>
  <c r="E37" i="5"/>
  <c r="E45" i="5"/>
  <c r="H45" i="5" s="1"/>
  <c r="E49" i="5"/>
  <c r="E54" i="5"/>
  <c r="E58" i="5"/>
  <c r="E63" i="5"/>
  <c r="E66" i="5"/>
  <c r="E67" i="5"/>
  <c r="E64" i="8"/>
  <c r="J64" i="8"/>
  <c r="J63" i="8"/>
  <c r="L62" i="8"/>
  <c r="E65" i="5" s="1"/>
  <c r="J57" i="8"/>
  <c r="N61" i="8"/>
  <c r="L61" i="8" s="1"/>
  <c r="E64" i="5" s="1"/>
  <c r="J60" i="8"/>
  <c r="L58" i="8"/>
  <c r="E61" i="5" s="1"/>
  <c r="L59" i="8"/>
  <c r="E62" i="5" s="1"/>
  <c r="J58" i="8"/>
  <c r="K58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9" i="8"/>
  <c r="K60" i="8"/>
  <c r="K61" i="8"/>
  <c r="K62" i="8"/>
  <c r="K63" i="8"/>
  <c r="K64" i="8"/>
  <c r="L56" i="8" l="1"/>
  <c r="E59" i="5" s="1"/>
  <c r="L50" i="8" l="1"/>
  <c r="E53" i="5" s="1"/>
  <c r="L49" i="8"/>
  <c r="E52" i="5" s="1"/>
  <c r="L48" i="8"/>
  <c r="E51" i="5" s="1"/>
  <c r="L47" i="8"/>
  <c r="E50" i="5" s="1"/>
  <c r="G54" i="8"/>
  <c r="L54" i="8" s="1"/>
  <c r="E57" i="5" s="1"/>
  <c r="I53" i="8"/>
  <c r="L53" i="8" s="1"/>
  <c r="E56" i="5" s="1"/>
  <c r="I52" i="8"/>
  <c r="L52" i="8" s="1"/>
  <c r="E55" i="5" s="1"/>
  <c r="L45" i="8"/>
  <c r="E48" i="5" s="1"/>
  <c r="L43" i="8"/>
  <c r="E46" i="5" s="1"/>
  <c r="L40" i="8"/>
  <c r="E43" i="5" s="1"/>
  <c r="L38" i="8"/>
  <c r="I38" i="8"/>
  <c r="F38" i="8"/>
  <c r="L36" i="8"/>
  <c r="E39" i="5" s="1"/>
  <c r="L35" i="8"/>
  <c r="E38" i="5" s="1"/>
  <c r="L30" i="8"/>
  <c r="E33" i="5" s="1"/>
  <c r="E32" i="5"/>
  <c r="I33" i="8"/>
  <c r="L32" i="8"/>
  <c r="I32" i="8"/>
  <c r="L39" i="8" l="1"/>
  <c r="E42" i="5" s="1"/>
  <c r="E41" i="5"/>
  <c r="L37" i="8"/>
  <c r="E40" i="5" s="1"/>
  <c r="L33" i="8"/>
  <c r="E36" i="5" s="1"/>
  <c r="E35" i="5"/>
  <c r="I43" i="8"/>
  <c r="I44" i="8"/>
  <c r="L44" i="8"/>
  <c r="E47" i="5" s="1"/>
  <c r="I45" i="8"/>
  <c r="L16" i="8" l="1"/>
  <c r="E19" i="5" s="1"/>
  <c r="B64" i="8" l="1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2" i="8"/>
  <c r="B43" i="8"/>
  <c r="B44" i="8"/>
  <c r="B45" i="8"/>
  <c r="B4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2" i="8"/>
  <c r="A43" i="8"/>
  <c r="A44" i="8"/>
  <c r="A45" i="8"/>
  <c r="A46" i="8"/>
  <c r="G31" i="5"/>
  <c r="H31" i="5" s="1"/>
  <c r="G32" i="5"/>
  <c r="H32" i="5" s="1"/>
  <c r="G33" i="5"/>
  <c r="H33" i="5"/>
  <c r="G34" i="5"/>
  <c r="G20" i="5"/>
  <c r="G19" i="5"/>
  <c r="H19" i="5" s="1"/>
  <c r="G18" i="5"/>
  <c r="H18" i="5" s="1"/>
  <c r="G61" i="5"/>
  <c r="H61" i="5" s="1"/>
  <c r="G62" i="5"/>
  <c r="H62" i="5" s="1"/>
  <c r="G63" i="5"/>
  <c r="H63" i="5" s="1"/>
  <c r="G64" i="5"/>
  <c r="H64" i="5" s="1"/>
  <c r="G65" i="5"/>
  <c r="H65" i="5" s="1"/>
  <c r="G66" i="5"/>
  <c r="H66" i="5" s="1"/>
  <c r="G67" i="5"/>
  <c r="H67" i="5" s="1"/>
  <c r="G60" i="5"/>
  <c r="G59" i="5"/>
  <c r="G58" i="5"/>
  <c r="I33" i="5" l="1"/>
  <c r="E18" i="7" s="1"/>
  <c r="E18" i="20" s="1"/>
  <c r="H18" i="20" s="1"/>
  <c r="I19" i="5"/>
  <c r="E14" i="7" s="1"/>
  <c r="E14" i="20" s="1"/>
  <c r="K14" i="20" s="1"/>
  <c r="H59" i="5"/>
  <c r="H60" i="5"/>
  <c r="H58" i="5"/>
  <c r="G18" i="20" l="1"/>
  <c r="F18" i="20"/>
  <c r="J18" i="20"/>
  <c r="I18" i="20"/>
  <c r="K18" i="20"/>
  <c r="I67" i="5"/>
  <c r="E28" i="7" s="1"/>
  <c r="E28" i="20" s="1"/>
  <c r="K28" i="20" s="1"/>
  <c r="I14" i="20"/>
  <c r="G14" i="20"/>
  <c r="J14" i="20"/>
  <c r="H14" i="20"/>
  <c r="F14" i="20"/>
  <c r="F50" i="5"/>
  <c r="G50" i="5" s="1"/>
  <c r="L51" i="5"/>
  <c r="G53" i="5"/>
  <c r="G49" i="5"/>
  <c r="G51" i="5"/>
  <c r="G52" i="5"/>
  <c r="G54" i="5"/>
  <c r="L9" i="8"/>
  <c r="E12" i="5" s="1"/>
  <c r="L8" i="8"/>
  <c r="E11" i="5" s="1"/>
  <c r="L7" i="8"/>
  <c r="L3" i="19"/>
  <c r="A4" i="19"/>
  <c r="A3" i="19"/>
  <c r="L54" i="7"/>
  <c r="L53" i="7"/>
  <c r="L52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7" i="7"/>
  <c r="L27" i="20" s="1"/>
  <c r="L25" i="7"/>
  <c r="L25" i="20" s="1"/>
  <c r="L23" i="7"/>
  <c r="L23" i="20" s="1"/>
  <c r="L21" i="7"/>
  <c r="L21" i="20" s="1"/>
  <c r="L19" i="7"/>
  <c r="L19" i="20" s="1"/>
  <c r="L17" i="7"/>
  <c r="L17" i="20" s="1"/>
  <c r="L15" i="7"/>
  <c r="L15" i="20" s="1"/>
  <c r="L13" i="7"/>
  <c r="L13" i="20" s="1"/>
  <c r="L12" i="7"/>
  <c r="L11" i="7"/>
  <c r="L9" i="7"/>
  <c r="L7" i="7"/>
  <c r="L7" i="20" s="1"/>
  <c r="J5" i="7"/>
  <c r="J28" i="20" l="1"/>
  <c r="F28" i="20"/>
  <c r="G28" i="20"/>
  <c r="I28" i="20"/>
  <c r="H28" i="20"/>
  <c r="H53" i="5"/>
  <c r="H52" i="5"/>
  <c r="H50" i="5"/>
  <c r="H51" i="5"/>
  <c r="H49" i="5"/>
  <c r="K54" i="7"/>
  <c r="J54" i="7"/>
  <c r="I54" i="7"/>
  <c r="H54" i="7"/>
  <c r="G54" i="7"/>
  <c r="F54" i="7"/>
  <c r="K52" i="7"/>
  <c r="J52" i="7"/>
  <c r="I52" i="7"/>
  <c r="H52" i="7"/>
  <c r="G52" i="7"/>
  <c r="F52" i="7"/>
  <c r="K50" i="7"/>
  <c r="J50" i="7"/>
  <c r="I50" i="7"/>
  <c r="H50" i="7"/>
  <c r="G50" i="7"/>
  <c r="F50" i="7"/>
  <c r="K48" i="7"/>
  <c r="J48" i="7"/>
  <c r="I48" i="7"/>
  <c r="H48" i="7"/>
  <c r="G48" i="7"/>
  <c r="F48" i="7"/>
  <c r="G44" i="7"/>
  <c r="G46" i="7"/>
  <c r="F44" i="7"/>
  <c r="F46" i="7"/>
  <c r="K42" i="7"/>
  <c r="K44" i="7"/>
  <c r="K46" i="7"/>
  <c r="J42" i="7"/>
  <c r="J44" i="7"/>
  <c r="J46" i="7"/>
  <c r="I42" i="7"/>
  <c r="I44" i="7"/>
  <c r="I46" i="7"/>
  <c r="H42" i="7"/>
  <c r="H44" i="7"/>
  <c r="H46" i="7"/>
  <c r="G42" i="7"/>
  <c r="F42" i="7"/>
  <c r="K40" i="7"/>
  <c r="J40" i="7"/>
  <c r="I40" i="7"/>
  <c r="H40" i="7"/>
  <c r="G40" i="7"/>
  <c r="F40" i="7"/>
  <c r="K38" i="7"/>
  <c r="J38" i="7"/>
  <c r="I38" i="7"/>
  <c r="H38" i="7"/>
  <c r="G38" i="7"/>
  <c r="F38" i="7"/>
  <c r="K36" i="7"/>
  <c r="J36" i="7"/>
  <c r="I36" i="7"/>
  <c r="H36" i="7"/>
  <c r="G36" i="7"/>
  <c r="F36" i="7"/>
  <c r="K34" i="7"/>
  <c r="J34" i="7"/>
  <c r="I34" i="7"/>
  <c r="H34" i="7"/>
  <c r="G34" i="7"/>
  <c r="F34" i="7"/>
  <c r="K32" i="7"/>
  <c r="J32" i="7"/>
  <c r="I32" i="7"/>
  <c r="H32" i="7"/>
  <c r="G32" i="7"/>
  <c r="F32" i="7"/>
  <c r="K30" i="7"/>
  <c r="J30" i="7"/>
  <c r="I30" i="7"/>
  <c r="H30" i="7"/>
  <c r="G30" i="7"/>
  <c r="F30" i="7"/>
  <c r="K28" i="7"/>
  <c r="J28" i="7"/>
  <c r="I28" i="7"/>
  <c r="H28" i="7"/>
  <c r="G28" i="7"/>
  <c r="F28" i="7"/>
  <c r="K12" i="7"/>
  <c r="J12" i="7"/>
  <c r="I12" i="7"/>
  <c r="H12" i="7"/>
  <c r="G12" i="7"/>
  <c r="F12" i="7"/>
  <c r="G57" i="5"/>
  <c r="L12" i="8"/>
  <c r="E15" i="5" s="1"/>
  <c r="G15" i="5"/>
  <c r="F15" i="5" s="1"/>
  <c r="B7" i="10"/>
  <c r="L19" i="8"/>
  <c r="E22" i="5" s="1"/>
  <c r="H54" i="5"/>
  <c r="L18" i="8"/>
  <c r="M23" i="8"/>
  <c r="L23" i="8" s="1"/>
  <c r="L22" i="8"/>
  <c r="E25" i="5" s="1"/>
  <c r="G46" i="5"/>
  <c r="G47" i="5"/>
  <c r="G48" i="5"/>
  <c r="K45" i="5"/>
  <c r="K47" i="5" s="1"/>
  <c r="F43" i="5" s="1"/>
  <c r="G43" i="5" s="1"/>
  <c r="G23" i="5"/>
  <c r="G24" i="5"/>
  <c r="G25" i="5"/>
  <c r="G26" i="5"/>
  <c r="G27" i="5"/>
  <c r="G28" i="5"/>
  <c r="G29" i="5"/>
  <c r="G30" i="5"/>
  <c r="A11" i="7"/>
  <c r="A11" i="20" s="1"/>
  <c r="G56" i="5"/>
  <c r="G55" i="5"/>
  <c r="E10" i="5"/>
  <c r="G39" i="5"/>
  <c r="G42" i="5"/>
  <c r="G36" i="5"/>
  <c r="G35" i="5"/>
  <c r="G22" i="5"/>
  <c r="G41" i="5"/>
  <c r="G40" i="5"/>
  <c r="G38" i="5"/>
  <c r="G37" i="5"/>
  <c r="T14" i="11"/>
  <c r="T13" i="11"/>
  <c r="T12" i="11"/>
  <c r="T11" i="11"/>
  <c r="T10" i="11"/>
  <c r="T9" i="11"/>
  <c r="T8" i="11"/>
  <c r="T7" i="11"/>
  <c r="A40" i="10"/>
  <c r="M27" i="10"/>
  <c r="L27" i="10" s="1"/>
  <c r="D23" i="10" s="1"/>
  <c r="K27" i="10"/>
  <c r="J27" i="10" s="1"/>
  <c r="C23" i="10" s="1"/>
  <c r="I27" i="10"/>
  <c r="E28" i="10" s="1"/>
  <c r="B23" i="10" s="1"/>
  <c r="E27" i="10"/>
  <c r="D27" i="10"/>
  <c r="D24" i="10"/>
  <c r="C24" i="10"/>
  <c r="B24" i="10"/>
  <c r="E22" i="10"/>
  <c r="A22" i="10"/>
  <c r="D22" i="10" s="1"/>
  <c r="D21" i="10"/>
  <c r="C21" i="10"/>
  <c r="B21" i="10"/>
  <c r="D20" i="10"/>
  <c r="C20" i="10"/>
  <c r="B20" i="10"/>
  <c r="D19" i="10"/>
  <c r="C19" i="10"/>
  <c r="B19" i="10"/>
  <c r="D18" i="10"/>
  <c r="C18" i="10"/>
  <c r="B18" i="10"/>
  <c r="F18" i="10" s="1"/>
  <c r="D17" i="10"/>
  <c r="C17" i="10"/>
  <c r="B17" i="10"/>
  <c r="D16" i="10"/>
  <c r="C16" i="10"/>
  <c r="B16" i="10"/>
  <c r="D15" i="10"/>
  <c r="C15" i="10"/>
  <c r="B15" i="10"/>
  <c r="D14" i="10"/>
  <c r="C14" i="10"/>
  <c r="B14" i="10"/>
  <c r="F10" i="10"/>
  <c r="F9" i="10"/>
  <c r="F8" i="10"/>
  <c r="A9" i="7"/>
  <c r="A9" i="20" s="1"/>
  <c r="A7" i="7"/>
  <c r="A7" i="20" s="1"/>
  <c r="K7" i="8"/>
  <c r="B6" i="8"/>
  <c r="A6" i="8"/>
  <c r="G12" i="5"/>
  <c r="G11" i="5"/>
  <c r="G10" i="5"/>
  <c r="A3" i="8"/>
  <c r="A4" i="8"/>
  <c r="I4" i="7"/>
  <c r="I5" i="7"/>
  <c r="D5" i="7"/>
  <c r="A5" i="7"/>
  <c r="L2" i="8"/>
  <c r="G14" i="5"/>
  <c r="L11" i="8"/>
  <c r="G21" i="5"/>
  <c r="I53" i="5" l="1"/>
  <c r="E24" i="7" s="1"/>
  <c r="J24" i="7" s="1"/>
  <c r="L24" i="8"/>
  <c r="L25" i="8"/>
  <c r="L26" i="8"/>
  <c r="E29" i="5" s="1"/>
  <c r="E14" i="5"/>
  <c r="L28" i="7"/>
  <c r="L28" i="20" s="1"/>
  <c r="M28" i="20" s="1"/>
  <c r="E21" i="5"/>
  <c r="E26" i="5"/>
  <c r="H34" i="5"/>
  <c r="H20" i="5"/>
  <c r="F19" i="10"/>
  <c r="F21" i="10"/>
  <c r="F15" i="10"/>
  <c r="F16" i="10"/>
  <c r="E29" i="10"/>
  <c r="H24" i="5"/>
  <c r="F20" i="10"/>
  <c r="F14" i="10"/>
  <c r="F17" i="10"/>
  <c r="H38" i="5"/>
  <c r="L20" i="8"/>
  <c r="H11" i="5"/>
  <c r="H22" i="5"/>
  <c r="H55" i="5"/>
  <c r="H25" i="5"/>
  <c r="H36" i="5"/>
  <c r="H43" i="5"/>
  <c r="H46" i="5"/>
  <c r="H10" i="5"/>
  <c r="L28" i="10"/>
  <c r="H12" i="5"/>
  <c r="H15" i="5"/>
  <c r="B22" i="10"/>
  <c r="F22" i="10" s="1"/>
  <c r="G23" i="10" s="1"/>
  <c r="C22" i="10"/>
  <c r="J28" i="10"/>
  <c r="H24" i="7" l="1"/>
  <c r="H26" i="5"/>
  <c r="I24" i="7"/>
  <c r="K24" i="7"/>
  <c r="H14" i="5"/>
  <c r="I15" i="5" s="1"/>
  <c r="E10" i="7" s="1"/>
  <c r="E10" i="20" s="1"/>
  <c r="K10" i="20" s="1"/>
  <c r="E24" i="20"/>
  <c r="K24" i="20" s="1"/>
  <c r="G24" i="7"/>
  <c r="F24" i="7"/>
  <c r="I12" i="5"/>
  <c r="E23" i="5"/>
  <c r="E27" i="5"/>
  <c r="E28" i="5"/>
  <c r="H57" i="5"/>
  <c r="H56" i="5"/>
  <c r="H39" i="5"/>
  <c r="H35" i="5"/>
  <c r="H41" i="5"/>
  <c r="H42" i="5"/>
  <c r="H47" i="5"/>
  <c r="L27" i="8"/>
  <c r="E30" i="5" s="1"/>
  <c r="H21" i="5"/>
  <c r="H48" i="5"/>
  <c r="K16" i="5"/>
  <c r="E24" i="10"/>
  <c r="E23" i="10"/>
  <c r="H23" i="5" l="1"/>
  <c r="L24" i="7"/>
  <c r="I57" i="5"/>
  <c r="E26" i="7" s="1"/>
  <c r="E26" i="20" s="1"/>
  <c r="I24" i="20"/>
  <c r="J24" i="20"/>
  <c r="H24" i="20"/>
  <c r="G24" i="20"/>
  <c r="F24" i="20"/>
  <c r="H27" i="5"/>
  <c r="I36" i="5"/>
  <c r="E20" i="7" s="1"/>
  <c r="L20" i="5"/>
  <c r="K18" i="5"/>
  <c r="K19" i="5" s="1"/>
  <c r="K20" i="5" s="1"/>
  <c r="H10" i="20"/>
  <c r="G10" i="20"/>
  <c r="I10" i="20"/>
  <c r="J10" i="20"/>
  <c r="F10" i="20"/>
  <c r="H28" i="5"/>
  <c r="H40" i="5"/>
  <c r="I48" i="5" s="1"/>
  <c r="E22" i="7" s="1"/>
  <c r="H30" i="5"/>
  <c r="H29" i="5"/>
  <c r="K10" i="7"/>
  <c r="F10" i="7"/>
  <c r="G10" i="7"/>
  <c r="H10" i="7"/>
  <c r="I10" i="7"/>
  <c r="J10" i="7"/>
  <c r="E8" i="7"/>
  <c r="E26" i="10"/>
  <c r="F24" i="10" s="1"/>
  <c r="H77" i="5" l="1"/>
  <c r="F26" i="7"/>
  <c r="H26" i="7"/>
  <c r="G26" i="7"/>
  <c r="I26" i="7"/>
  <c r="J26" i="7"/>
  <c r="K26" i="7"/>
  <c r="L24" i="20"/>
  <c r="M24" i="20" s="1"/>
  <c r="I30" i="5"/>
  <c r="E22" i="20"/>
  <c r="K22" i="20" s="1"/>
  <c r="G22" i="7"/>
  <c r="F22" i="7"/>
  <c r="I22" i="7"/>
  <c r="K22" i="7"/>
  <c r="H22" i="7"/>
  <c r="J22" i="7"/>
  <c r="E20" i="20"/>
  <c r="K20" i="7"/>
  <c r="I20" i="7"/>
  <c r="G20" i="7"/>
  <c r="H20" i="7"/>
  <c r="J20" i="7"/>
  <c r="F20" i="7"/>
  <c r="J26" i="20"/>
  <c r="F26" i="20"/>
  <c r="H26" i="20"/>
  <c r="G26" i="20"/>
  <c r="K26" i="20"/>
  <c r="I26" i="20"/>
  <c r="L21" i="5"/>
  <c r="E8" i="20"/>
  <c r="K8" i="20" s="1"/>
  <c r="F18" i="7"/>
  <c r="L10" i="7"/>
  <c r="M10" i="7" s="1"/>
  <c r="K8" i="7"/>
  <c r="J8" i="7"/>
  <c r="I8" i="7"/>
  <c r="H8" i="7"/>
  <c r="F8" i="7"/>
  <c r="G8" i="7"/>
  <c r="E16" i="7" l="1"/>
  <c r="I77" i="5"/>
  <c r="L26" i="7"/>
  <c r="I16" i="7"/>
  <c r="J16" i="7"/>
  <c r="L26" i="20"/>
  <c r="M26" i="20" s="1"/>
  <c r="J20" i="20"/>
  <c r="F20" i="20"/>
  <c r="I20" i="20"/>
  <c r="G20" i="20"/>
  <c r="K20" i="20"/>
  <c r="H20" i="20"/>
  <c r="E65" i="20"/>
  <c r="E4" i="20"/>
  <c r="L22" i="7"/>
  <c r="L20" i="7"/>
  <c r="J22" i="20"/>
  <c r="G22" i="20"/>
  <c r="F22" i="20"/>
  <c r="I22" i="20"/>
  <c r="H22" i="20"/>
  <c r="L10" i="20"/>
  <c r="M10" i="20" s="1"/>
  <c r="I8" i="20"/>
  <c r="F8" i="20"/>
  <c r="G8" i="20"/>
  <c r="J8" i="20"/>
  <c r="H8" i="20"/>
  <c r="I14" i="7"/>
  <c r="I18" i="7"/>
  <c r="J18" i="7"/>
  <c r="H18" i="7"/>
  <c r="G18" i="7"/>
  <c r="K18" i="7"/>
  <c r="E4" i="7"/>
  <c r="I7" i="5"/>
  <c r="M5" i="8" s="1"/>
  <c r="E65" i="7"/>
  <c r="J12" i="5"/>
  <c r="O7" i="8" s="1"/>
  <c r="L8" i="7"/>
  <c r="J77" i="5" l="1"/>
  <c r="M73" i="8"/>
  <c r="G16" i="7"/>
  <c r="H16" i="7"/>
  <c r="K16" i="7"/>
  <c r="E16" i="20"/>
  <c r="K16" i="20" s="1"/>
  <c r="F16" i="7"/>
  <c r="L20" i="20"/>
  <c r="M20" i="20" s="1"/>
  <c r="L22" i="20"/>
  <c r="M22" i="20" s="1"/>
  <c r="L8" i="20"/>
  <c r="M8" i="20" s="1"/>
  <c r="E56" i="7"/>
  <c r="J14" i="7"/>
  <c r="J56" i="7" s="1"/>
  <c r="H14" i="7"/>
  <c r="G14" i="7"/>
  <c r="K14" i="7"/>
  <c r="F14" i="7"/>
  <c r="I56" i="7"/>
  <c r="L18" i="7"/>
  <c r="L18" i="20" s="1"/>
  <c r="M18" i="20" s="1"/>
  <c r="G56" i="7" l="1"/>
  <c r="G55" i="7" s="1"/>
  <c r="G1" i="7" s="1"/>
  <c r="F56" i="7"/>
  <c r="F55" i="7" s="1"/>
  <c r="F1" i="7" s="1"/>
  <c r="K56" i="7"/>
  <c r="K55" i="7" s="1"/>
  <c r="K1" i="7" s="1"/>
  <c r="H56" i="7"/>
  <c r="H55" i="7" s="1"/>
  <c r="H1" i="7" s="1"/>
  <c r="L16" i="7"/>
  <c r="M16" i="7" s="1"/>
  <c r="H16" i="20"/>
  <c r="H56" i="20" s="1"/>
  <c r="K56" i="20"/>
  <c r="I16" i="20"/>
  <c r="I56" i="20" s="1"/>
  <c r="E56" i="20"/>
  <c r="F16" i="20"/>
  <c r="G16" i="20"/>
  <c r="G56" i="20" s="1"/>
  <c r="J16" i="20"/>
  <c r="J56" i="20" s="1"/>
  <c r="E13" i="7"/>
  <c r="E47" i="7"/>
  <c r="E43" i="7"/>
  <c r="E39" i="7"/>
  <c r="E37" i="7"/>
  <c r="E35" i="7"/>
  <c r="E25" i="7"/>
  <c r="E19" i="7"/>
  <c r="E17" i="7"/>
  <c r="E15" i="7"/>
  <c r="E11" i="7"/>
  <c r="E49" i="7"/>
  <c r="E45" i="7"/>
  <c r="E23" i="7"/>
  <c r="E21" i="7"/>
  <c r="E53" i="7"/>
  <c r="E9" i="7"/>
  <c r="E41" i="7"/>
  <c r="E33" i="7"/>
  <c r="E31" i="7"/>
  <c r="E29" i="7"/>
  <c r="E51" i="7"/>
  <c r="E7" i="7"/>
  <c r="E27" i="7"/>
  <c r="J55" i="7"/>
  <c r="J1" i="7" s="1"/>
  <c r="I55" i="7"/>
  <c r="I1" i="7" s="1"/>
  <c r="L14" i="7"/>
  <c r="M8" i="7"/>
  <c r="M12" i="7"/>
  <c r="M18" i="7"/>
  <c r="M20" i="7"/>
  <c r="M22" i="7"/>
  <c r="M24" i="7"/>
  <c r="M26" i="7"/>
  <c r="M28" i="7"/>
  <c r="M30" i="7"/>
  <c r="M32" i="7"/>
  <c r="M34" i="7"/>
  <c r="M36" i="7"/>
  <c r="M38" i="7"/>
  <c r="M40" i="7"/>
  <c r="M42" i="7"/>
  <c r="M44" i="7"/>
  <c r="M46" i="7"/>
  <c r="M48" i="7"/>
  <c r="M50" i="7"/>
  <c r="M52" i="7"/>
  <c r="M54" i="7"/>
  <c r="J55" i="20" l="1"/>
  <c r="J1" i="20" s="1"/>
  <c r="G55" i="20"/>
  <c r="G1" i="20" s="1"/>
  <c r="L56" i="7"/>
  <c r="L16" i="20"/>
  <c r="M16" i="20" s="1"/>
  <c r="F56" i="20"/>
  <c r="F55" i="20" s="1"/>
  <c r="F1" i="20" s="1"/>
  <c r="E17" i="20"/>
  <c r="E53" i="20"/>
  <c r="E23" i="20"/>
  <c r="E19" i="20"/>
  <c r="E27" i="20"/>
  <c r="E39" i="20"/>
  <c r="E21" i="20"/>
  <c r="E37" i="20"/>
  <c r="E49" i="20"/>
  <c r="E51" i="20"/>
  <c r="E13" i="20"/>
  <c r="E11" i="20"/>
  <c r="E47" i="20"/>
  <c r="E25" i="20"/>
  <c r="E41" i="20"/>
  <c r="E7" i="20"/>
  <c r="E35" i="20"/>
  <c r="E29" i="20"/>
  <c r="E45" i="20"/>
  <c r="E15" i="20"/>
  <c r="E33" i="20"/>
  <c r="E31" i="20"/>
  <c r="E43" i="20"/>
  <c r="E9" i="20"/>
  <c r="I55" i="20"/>
  <c r="I1" i="20" s="1"/>
  <c r="K55" i="20"/>
  <c r="K1" i="20" s="1"/>
  <c r="H55" i="20"/>
  <c r="H1" i="20" s="1"/>
  <c r="L55" i="7"/>
  <c r="M14" i="7"/>
  <c r="L14" i="20"/>
  <c r="M14" i="20" s="1"/>
  <c r="E55" i="7"/>
  <c r="L55" i="20" l="1"/>
  <c r="L56" i="20"/>
  <c r="M56" i="20" s="1"/>
  <c r="E55" i="20"/>
</calcChain>
</file>

<file path=xl/sharedStrings.xml><?xml version="1.0" encoding="utf-8"?>
<sst xmlns="http://schemas.openxmlformats.org/spreadsheetml/2006/main" count="629" uniqueCount="387">
  <si>
    <t>ITEM</t>
  </si>
  <si>
    <t>DESCRIÇÃO</t>
  </si>
  <si>
    <t>PLANILHA ORÇAMENTÁRIA DE CUSTOS</t>
  </si>
  <si>
    <t>CÓDIGO</t>
  </si>
  <si>
    <t>INDIRETA</t>
  </si>
  <si>
    <t>CREA</t>
  </si>
  <si>
    <t xml:space="preserve">FORMA DE EXECUÇÃO: </t>
  </si>
  <si>
    <t>Carimbo e assinatura do engenheiro responsável técnico pela elaboração da planilha</t>
  </si>
  <si>
    <t>Carimbo e assinatura do prefeito</t>
  </si>
  <si>
    <t>2.1</t>
  </si>
  <si>
    <t>(  X  )</t>
  </si>
  <si>
    <t>61/924 / D</t>
  </si>
  <si>
    <t>Eng. Civil WILSON DIAS DA FONSECA JÚNIOR</t>
  </si>
  <si>
    <t>UNID</t>
  </si>
  <si>
    <t>QUANTID</t>
  </si>
  <si>
    <t>CRONOGRAMA FÍSICO-FINANCEIRO</t>
  </si>
  <si>
    <t>ETAPAS/DESCRIÇÃO</t>
  </si>
  <si>
    <t>FÍSICO/ FINANCEIRO</t>
  </si>
  <si>
    <t>TOTAL  ETAPAS</t>
  </si>
  <si>
    <t>Físico %</t>
  </si>
  <si>
    <t>Financeiro</t>
  </si>
  <si>
    <t>TOTAL</t>
  </si>
  <si>
    <t xml:space="preserve"> </t>
  </si>
  <si>
    <t>Carimbo e assinatura do engenheiro responsável técnico pela elaboração do cronograma</t>
  </si>
  <si>
    <t>SERVIÇOS PRELIMINARES</t>
  </si>
  <si>
    <t>PREFEITURA MUNICIPAL DE SANTA CRUZ DO ESCALVADO</t>
  </si>
  <si>
    <t>MEMÓRIA DE CÁLCULO</t>
  </si>
  <si>
    <t xml:space="preserve">VALOR DA OBRA: </t>
  </si>
  <si>
    <t>TOTAL GERAL</t>
  </si>
  <si>
    <t>global</t>
  </si>
  <si>
    <t>2.2</t>
  </si>
  <si>
    <t>ED-16660</t>
  </si>
  <si>
    <t>comprimento</t>
  </si>
  <si>
    <t>%</t>
  </si>
  <si>
    <t>APILOAMENTO DO FUNDO DE VALAS COM PLACA VIBRATÓRIA</t>
  </si>
  <si>
    <t>REATERRO COMPACTADO DE VALA COM EQUIPAMENTO PLACA VIBRATÓRIA</t>
  </si>
  <si>
    <t>CHI</t>
  </si>
  <si>
    <t>ED-51094</t>
  </si>
  <si>
    <t>ED-51121</t>
  </si>
  <si>
    <t>MÊS 1</t>
  </si>
  <si>
    <t>MÊS 2</t>
  </si>
  <si>
    <t>MÊS 3</t>
  </si>
  <si>
    <t>MÊS 4</t>
  </si>
  <si>
    <t>MÊS 5</t>
  </si>
  <si>
    <t>MÊS 6</t>
  </si>
  <si>
    <t>TUBO DE CONCRETO ARMADO, CLASSE PA1, DIÂMETRO DE 600MM, INCLUSIVE CARGA E DESCARGA MECÂNICA EM CAMINHÃO, ASSENTAMENTO E REJUNTAMENTO, EXCLUSIVE ESCAVAÇÃO E TRANSPORTE</t>
  </si>
  <si>
    <t>ED-9209</t>
  </si>
  <si>
    <t>CHP</t>
  </si>
  <si>
    <t>ED-50389</t>
  </si>
  <si>
    <t>MOBILIZAÇÃO E DESMOBILIZAÇÃO OBRA DISTANTE DE CENTRO URBANO COM VALOR ATÉ 1.000.000,00</t>
  </si>
  <si>
    <t>ED-51110</t>
  </si>
  <si>
    <t>ED-51096</t>
  </si>
  <si>
    <t xml:space="preserve">  </t>
  </si>
  <si>
    <t xml:space="preserve"> 1.1 </t>
  </si>
  <si>
    <t xml:space="preserve"> ED-21776 </t>
  </si>
  <si>
    <t>ENCARREGADO GERAL DE OBRAS COM ENCARGOS COMPLEMENTARES</t>
  </si>
  <si>
    <t xml:space="preserve"> 1.2</t>
  </si>
  <si>
    <t>ED-21777</t>
  </si>
  <si>
    <t>TÉCNICO EM SEGURANÇA DO TRABALHO COM ENCARGOS COMPLEMENTARES</t>
  </si>
  <si>
    <t xml:space="preserve"> 1.3</t>
  </si>
  <si>
    <t xml:space="preserve"> ED-21770 </t>
  </si>
  <si>
    <t>ENGENHEIRO CIVIL DE OBRA PLENO COM ENCARGOS COMPLEMENTARES</t>
  </si>
  <si>
    <t>3.1</t>
  </si>
  <si>
    <t>cronograma</t>
  </si>
  <si>
    <t>COMPOSIÇÃO ANALÍTICA DE LDI OU BDI</t>
  </si>
  <si>
    <t xml:space="preserve">Nº do Contrato de Repasse: </t>
  </si>
  <si>
    <t xml:space="preserve">Proponente: </t>
  </si>
  <si>
    <t xml:space="preserve">Empreendimento: </t>
  </si>
  <si>
    <t>Tipo de Obra:</t>
  </si>
  <si>
    <t>Construção de Rodovias (Pavimentação Urbana)</t>
  </si>
  <si>
    <t>Base de Cálculo do ISS da Prefeitura:</t>
  </si>
  <si>
    <t>Orçamento Desonerado? (Sim ou Não)</t>
  </si>
  <si>
    <t>VALORES DE REFERÊNCIA - %</t>
  </si>
  <si>
    <t>BDI ADOTADO - %</t>
  </si>
  <si>
    <t>(1° Quartil)</t>
  </si>
  <si>
    <t>MÉDIA</t>
  </si>
  <si>
    <t>(3° Quartil)</t>
  </si>
  <si>
    <t>Administração Central</t>
  </si>
  <si>
    <t>Seguros e Garantias (*)</t>
  </si>
  <si>
    <t>Riscos</t>
  </si>
  <si>
    <t>Despesas Financeiras</t>
  </si>
  <si>
    <t>Lucro</t>
  </si>
  <si>
    <t>COFINS</t>
  </si>
  <si>
    <t>PIS</t>
  </si>
  <si>
    <t>ISS (**)</t>
  </si>
  <si>
    <t>LIMITE BDI C/ DESONERAÇÃO</t>
  </si>
  <si>
    <t>LIMITE BDI S/ DESONERAÇÃO</t>
  </si>
  <si>
    <t>Fonte da composição, valores de referência e fórmula do BDI:  Acórdão 2622/2013-TCU-Plenário</t>
  </si>
  <si>
    <t>Desoneração: Lei n°13.161/2015</t>
  </si>
  <si>
    <t>Verificação do  BDI:</t>
  </si>
  <si>
    <t>BDI S/ DESN</t>
  </si>
  <si>
    <t>BDI C/ DESN</t>
  </si>
  <si>
    <t>Os valores de BDI acima foram calculados com emprego da fórmula abaixo:</t>
  </si>
  <si>
    <t>Onde:</t>
  </si>
  <si>
    <t>AC = taxa de rateio da Administração Central;</t>
  </si>
  <si>
    <t>DF = taxa das despesas financeiras;</t>
  </si>
  <si>
    <t>R, S, G = taxa de risco, seguro e garantia do empreendimento;</t>
  </si>
  <si>
    <t>I = taxa de tributos (Onerado: I = COFINS+PIS+ISS / Desonerado: I = COFINS+PIS+ISS+CPRB);</t>
  </si>
  <si>
    <t>L = taxa de lucro.</t>
  </si>
  <si>
    <t>Resp. Tomador:</t>
  </si>
  <si>
    <t>Cargo:</t>
  </si>
  <si>
    <t>Sigla S/N</t>
  </si>
  <si>
    <t>SIM</t>
  </si>
  <si>
    <t>NÃO</t>
  </si>
  <si>
    <t>AC</t>
  </si>
  <si>
    <t>SG</t>
  </si>
  <si>
    <t>R</t>
  </si>
  <si>
    <t>DF</t>
  </si>
  <si>
    <t>L</t>
  </si>
  <si>
    <t>ISS</t>
  </si>
  <si>
    <t>DESON.</t>
  </si>
  <si>
    <t>LIMITE BDI</t>
  </si>
  <si>
    <t>Sigla Obras</t>
  </si>
  <si>
    <t>MÍN</t>
  </si>
  <si>
    <t>MED</t>
  </si>
  <si>
    <t>MAX</t>
  </si>
  <si>
    <t>Construção de Edifícios e Reformas (Quadras, unidades habitacionais, escolas, restaurantes, etc)</t>
  </si>
  <si>
    <t>Construção de Praças</t>
  </si>
  <si>
    <t>Construção de Ferrovias</t>
  </si>
  <si>
    <t>Construção de Redes de Abastecimento de Água, Coleta de Esgoto e Construções Correlatas</t>
  </si>
  <si>
    <t>Construção e Manutenção de Estações e Redes de Distribuição de Energia Elétrica</t>
  </si>
  <si>
    <t>Portuárias, Marítimas e Fluviais</t>
  </si>
  <si>
    <t>Fornecimento de Materiais e Equipamentos</t>
  </si>
  <si>
    <t>SINAPI-5678</t>
  </si>
  <si>
    <t>SINAPI-5679</t>
  </si>
  <si>
    <t>RETROESCAVADEIRA SOBRE RODAS C/ CARREGADEIRA, TRAÇÃO 4X4, POTÊNCIA LÍQ. 88 HP, CAÇAMBA CARREG. CAP. MÍN. 1 M3, CAÇAMBA RETRO CAP. 0,26 M3, PESO OPERACIONAL MÍN. 6.674 KG, PROFUND ESCAVAÇÃO MÁX. 4,37 M - CHI DIURNO</t>
  </si>
  <si>
    <t>RETROESCAVADEIRA SOBRE RODAS C/ CARREGADEIRA, TRAÇÃO 4X4, POTÊNCIA LÍQ. 88 HP, CAÇAMBA CARREG. CAP. MÍN. 1 M3, CAÇAMBA RETRO CAP. 0,26 M3, PESO OPERACIONAL MÍN. 6.674 KG, PROFUND ESCAVAÇÃO MÁX. 4,37 M - CHP DIURNO</t>
  </si>
  <si>
    <t>estimativa de horas</t>
  </si>
  <si>
    <t>comprimento x largura = comprimento x 1,3</t>
  </si>
  <si>
    <t>área</t>
  </si>
  <si>
    <t>TUBO 600mm=(comprimentox1,5x1,4)-(comprimentox3,14x0,6x0,6x0,25)</t>
  </si>
  <si>
    <t>ED-8471</t>
  </si>
  <si>
    <t>FÔRMA E DESFORMA DE TÁBUA E SARRAFO, REAPROVEITAMENTO (5X), EXCLUSIVE ESCORAMENTO</t>
  </si>
  <si>
    <t>3.2</t>
  </si>
  <si>
    <t>3.3</t>
  </si>
  <si>
    <t>área = 1,00 x 2,00</t>
  </si>
  <si>
    <t>ADMINISTRAÇÃO LOCAL</t>
  </si>
  <si>
    <t>61.924 / D</t>
  </si>
  <si>
    <t>SERVIÇOS DIVERSOS</t>
  </si>
  <si>
    <t>3.1.1</t>
  </si>
  <si>
    <t>3.1.2</t>
  </si>
  <si>
    <t>3.2.1</t>
  </si>
  <si>
    <t>3.2.2</t>
  </si>
  <si>
    <t>3.3.1</t>
  </si>
  <si>
    <t>M3</t>
  </si>
  <si>
    <t>M2</t>
  </si>
  <si>
    <t>MÊS</t>
  </si>
  <si>
    <t>M</t>
  </si>
  <si>
    <t>estimativa</t>
  </si>
  <si>
    <t>COMPOSIÇÃO</t>
  </si>
  <si>
    <t>ED-50414</t>
  </si>
  <si>
    <t>REMOÇÃO E REASSENTAMENTO DE CALÇAMENTO EM BLOCO DE CONCRETO INTERTRAVADO OU SEXTAVADO, COM REAPROVEITAMENTO DOS BLOCOS, INCLUSIVE FORNECIMENTO COM APLICAÇÃO E REGULARIZAÇÃO MECANIZADA DE COLCHÃO DE PÓ-DE-PEDRA</t>
  </si>
  <si>
    <t>ED-51142</t>
  </si>
  <si>
    <t>REMOÇÃO E REASSENTAMENTO DE MEIO FIO PRÉ MOLDADO DE CONCRETO COM REAPROVEITAMENTO</t>
  </si>
  <si>
    <t>SICRO-1505877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</si>
  <si>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</si>
  <si>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</si>
  <si>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>SINAPI-95875</t>
  </si>
  <si>
    <t>M3xKM</t>
  </si>
  <si>
    <t>RO-00337</t>
  </si>
  <si>
    <t>Base ou sub base estabilizada granulometricamente com mistura na pista de solo bica corrida (30%   70%), com material de jazida e bica corrida comercial Compactado na energia modificada (Execução, incluído escavação e carga do material de jazida, fornecimento e carga da bica corrida, exclui o transporte)</t>
  </si>
  <si>
    <t>RO-00518</t>
  </si>
  <si>
    <t>Transporte de bica corrida produzida ou comercial até a usina de solos com caminhão basculante de 12 m3 em piso pavimentado</t>
  </si>
  <si>
    <t>ED-8982</t>
  </si>
  <si>
    <t>RECOMPOSIÇÃO DE BASE</t>
  </si>
  <si>
    <t>CAIXA DRENAGEM INSPEÇÃO/PASSAGEM EM ALVENARIA (80X80X140CM), REVESTIMENTO EM ARGAMASSA C/ ADITIVO IMPERMEABILIZANTE, C/ TAMPA CONCRETO, INCL ESCAVAÇÃO, REATERRO E TRANSPORTE C/ RETIRADA DO MATERIAL ESCAVADO</t>
  </si>
  <si>
    <t>DISSIPADOR DE ENERGIA</t>
  </si>
  <si>
    <t>SINAPI-103801</t>
  </si>
  <si>
    <t>CONCRETAGEM DE DISSIPADOR DE ENERGIA, FCK = 20 MPA, COM USO DE JERICAS E PREPARO EM BETONEIRA DE 600 L - AREIA E BRITA COMERCIAIS - LANÇAMENTO, ADENSAMENTO E ACABAMENTO. AF_08/2022</t>
  </si>
  <si>
    <t>SINAPI-103800</t>
  </si>
  <si>
    <t>ED-49926</t>
  </si>
  <si>
    <t>caixa completa</t>
  </si>
  <si>
    <t>EMOP 20.028.0020-0</t>
  </si>
  <si>
    <t>incluir tampa concreto 0,90x0,90 m2</t>
  </si>
  <si>
    <t>valor na ED-49926</t>
  </si>
  <si>
    <t>tirar grelha metálica</t>
  </si>
  <si>
    <t>VALOR FINAL CAIXA</t>
  </si>
  <si>
    <t>dimensões = C=2,40m / L= 2,42 / d=0,30  / e=0,15</t>
  </si>
  <si>
    <t>unidades</t>
  </si>
  <si>
    <t>quantidade=</t>
  </si>
  <si>
    <t xml:space="preserve">volume de concreto 0,88m3 x quantidade </t>
  </si>
  <si>
    <t xml:space="preserve">área de fôrmas 5,25m2 x quantidade </t>
  </si>
  <si>
    <t xml:space="preserve">volume de pedra 1,28m3 x quantidade </t>
  </si>
  <si>
    <t>quantidade</t>
  </si>
  <si>
    <t>Tubo 600mm = no. trechos x compriment</t>
  </si>
  <si>
    <t xml:space="preserve">volume de corte estimado </t>
  </si>
  <si>
    <t>comprimento=</t>
  </si>
  <si>
    <t>volume de corte de terra = comprimento x 0,50 x 0,25</t>
  </si>
  <si>
    <t>volume aterro compactado = comprimento x 0,50 x 0,25</t>
  </si>
  <si>
    <t>volume de material</t>
  </si>
  <si>
    <t>peso da bica corrida x distância de transporte</t>
  </si>
  <si>
    <t>Txkm</t>
  </si>
  <si>
    <t>estimativa de horas = no. dias x 2 horas/dia</t>
  </si>
  <si>
    <t>estimativa de horas = no. dias x 6 horas/dia</t>
  </si>
  <si>
    <t>volume de material fornecido</t>
  </si>
  <si>
    <t>volume de material x peso médio 1,5 ton/m3 x distância média 50km</t>
  </si>
  <si>
    <t>área de recomposição</t>
  </si>
  <si>
    <t>comprimento de meio fio</t>
  </si>
  <si>
    <t>área de recomposição com bloquetes danificados não passíveis de reutilização</t>
  </si>
  <si>
    <t>área estimada de 20% do total de área a ser recomposta</t>
  </si>
  <si>
    <t>limite entre 3,49 a 8,87</t>
  </si>
  <si>
    <t>ED-51145</t>
  </si>
  <si>
    <t>PASSEIOS DE CONCRETO E = 6 CM, FCK = 10 MPA, JUNTA SECA</t>
  </si>
  <si>
    <t>COMPACTAÇÃO MECANIZADA ATERRO COM PLACA VIBRATÓRIA, INCLUSIVE ESPALHAMENTO MANUAL</t>
  </si>
  <si>
    <t>área de passeio</t>
  </si>
  <si>
    <t>área = compr x largura</t>
  </si>
  <si>
    <t>TRAVAMENTO EXTERNO DE MEIO-FIOS EXISTENTES</t>
  </si>
  <si>
    <t>quantidade trechos =</t>
  </si>
  <si>
    <t>quantidade = número de trechos x 2 lados</t>
  </si>
  <si>
    <t>PEDRA ARGAMASSADA C/ CIMENTO E AREIA 1:3, 40% DE ARGAMASSA EM VOLUME - AREIA E PEDRA DE MÃO COMERCIAIS - FORNEC E ASSENT</t>
  </si>
  <si>
    <t>MATED-11977</t>
  </si>
  <si>
    <t>PISO INTERTRAVADO (MODELO: SEXTAVADO|DIMENSÕES: (30X30)CM|ESPESSURA: 8CM|RESISTÊNCIA MÍNIMA (FCK): 35MPA|MATERIAL: CONCRETO|PESO DO BLOCO*: 9,7KG|PESO POR ÁREA*: 180KG/M2)*VALORES REFERENCIAIS APROXIMADOS</t>
  </si>
  <si>
    <t>volume de material removido a ser transportado</t>
  </si>
  <si>
    <t>FOLHA Nº:  01</t>
  </si>
  <si>
    <t>DESCRIÇÃO DOS SERVIÇOS</t>
  </si>
  <si>
    <t>BDI</t>
  </si>
  <si>
    <t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t>
  </si>
  <si>
    <t>VALOR TOTAL</t>
  </si>
  <si>
    <t>Profissional: WILSON DIAS DA FONSECA JR.</t>
  </si>
  <si>
    <t>CREA: 61.924/D</t>
  </si>
  <si>
    <t xml:space="preserve">PRAZO EXECUÇÃO:  </t>
  </si>
  <si>
    <t>ESCAVAÇÃO MANUAL DE TERRA (DESATERRO MANUAL), INCL DESCARGA LATERAL, EXCL RETIRADA E TRANSPORTE DO MATERIAL ESCAVADO</t>
  </si>
  <si>
    <t>RELATÓRIO FOTOGRÁFICO - ANTES DA LICITAÇÃO</t>
  </si>
  <si>
    <t>PRÇO UN S/ BDI</t>
  </si>
  <si>
    <t>PRÇO UN C/ BDI</t>
  </si>
  <si>
    <t>LAT &gt;&gt;&gt; -20.2361352°</t>
  </si>
  <si>
    <t>LON &gt;&gt;&gt; -42.8155965°</t>
  </si>
  <si>
    <t>REMOÇÃO MATERIAL C/ TRANSPORTE CAMINHÃO BASCULANTE DE 10 M³, EM VIA URBANA PAVIMENTADA, DMT ATÉ 30 KM (UNID: M3XKM).</t>
  </si>
  <si>
    <t>ED-48439</t>
  </si>
  <si>
    <t>RO-15481</t>
  </si>
  <si>
    <t>RO-15482</t>
  </si>
  <si>
    <t>Recomposição parcial de cerca de arame farpado com mourão de madeira   - ARAME</t>
  </si>
  <si>
    <t>Recomposição parcial de cerca de arame farpado com mourão de madeira   - MOURÃO</t>
  </si>
  <si>
    <t>RO-15485</t>
  </si>
  <si>
    <t>Recomposição total de cerca de arame farpado com mourão de madeira</t>
  </si>
  <si>
    <t>Recomposição total de cerca de arame farpado com mourão de madeira (SEM MATERIAL)</t>
  </si>
  <si>
    <t>REMOÇÃO MANUAL DE CERCA, COM REAPROVEITAMENTO, INCLUSIVE AFASTAMENTO, EMPILHAMENTO E REASSENTAMENTO EM LOCAL PRÓXIMO, ALÉM DE TRANSPORTE E RETIRADA DO MATERIAL REMOVIDO NÃO REAPROVEITÁVEL</t>
  </si>
  <si>
    <t>área de cerca a ser removida e reassentada</t>
  </si>
  <si>
    <t>comprimento de arame estimado para recomposição</t>
  </si>
  <si>
    <t>comprimento = 20% do trecho de cerca a ser removido</t>
  </si>
  <si>
    <t>comprimento estimado de cerca c/ troca de mourões</t>
  </si>
  <si>
    <t>comprimento estimado de cerca c/ troca total de arame/mourões</t>
  </si>
  <si>
    <t>comprimento = 10% do trecho de cerca a ser removido</t>
  </si>
  <si>
    <t>CO-28366</t>
  </si>
  <si>
    <t>VEÍCULO TIPO PICAPE LEVE, COM CAPACIDADE PARA CINCO (5) LUGARES, OBEDECIDOS OS SEGUINTES REQUISITOS MÍNIMOS: TER NO MÁXIMO UM (1) ANO DE USO, ATÉ 20.000KM RODADOS, POTÊNCIA MÍNIMA DE 100CV, DIREÇÃO ASSISTIDA, AR CONDICIONADO, DESEMBAÇADOR DE VIDROS, RÁDIO AM/FM, EMPLACADO, COM SEGURO TOTAL, INCLUSIVE MANUTENÇÃO E COMBUSTÍVEL (CUSTO VARIÁVEL)</t>
  </si>
  <si>
    <t>km</t>
  </si>
  <si>
    <t>3.2.3</t>
  </si>
  <si>
    <t>CERCAMENTO EM MOURÕES DE MADEIRA E ARAME FARPADO</t>
  </si>
  <si>
    <t>3.4.2</t>
  </si>
  <si>
    <t>3.5</t>
  </si>
  <si>
    <t>3.5.1</t>
  </si>
  <si>
    <t>3.5.2</t>
  </si>
  <si>
    <t>3.5.3</t>
  </si>
  <si>
    <t>3.5.4</t>
  </si>
  <si>
    <t>3.6</t>
  </si>
  <si>
    <t>3.6.1</t>
  </si>
  <si>
    <t>3.6.2</t>
  </si>
  <si>
    <t>3.6.3</t>
  </si>
  <si>
    <t>3.7</t>
  </si>
  <si>
    <t>3.7.1</t>
  </si>
  <si>
    <t>3.7.2</t>
  </si>
  <si>
    <t>3.7.3</t>
  </si>
  <si>
    <t>RECOMPOSIÇÃO DE CALÇAMENTO EXISTENTE</t>
  </si>
  <si>
    <t>DRENAGEM PLUVIAL</t>
  </si>
  <si>
    <t>EXECUÇÃO DE QUEBRA-MOLAS</t>
  </si>
  <si>
    <t>REMOÇÃO E REASSENTAMENTO DE CALÇAMENTO EM BLOCO DE CONCRETO INTERTRAVADO OU SEXTAVADO, C/ REAPROVEITAMENTO DOS BLOCOS, INCL FORNECIMENTO C/ APLICAÇÃO E REGULARIZAÇÃO MECANIZADA DE COLCHÃO DE PÓ-DE-PEDRA</t>
  </si>
  <si>
    <t>3.3.2</t>
  </si>
  <si>
    <t>3.4</t>
  </si>
  <si>
    <t>3.4.1</t>
  </si>
  <si>
    <t>3.5.5</t>
  </si>
  <si>
    <t>COMPOSIÇÃO         (ED-48439)+         (RO-15485 sem materiais)</t>
  </si>
  <si>
    <t>RETROESCAVADEIRA SOBRE RODAS COM CARREGADEIRA, TRAÇÃO 4X4, POTÊNCIA LÍQ. 88 HP, CAÇAMBA CARREG. CAP. MÍN. 1 M3, CAÇAMBA RETRO CAP. 0,26 M3, PESO OPERACIONAL MÍN. 6.674 KG, PROFUNDIDADE ESCAVAÇÃO MÁX. 4,37 M - CHP DIURNO</t>
  </si>
  <si>
    <t>ED-51133</t>
  </si>
  <si>
    <t>ED-29230</t>
  </si>
  <si>
    <t>TRANSPORTE DE MATERIAL DE QUALQUER NATUREZA COM CARRINHO DE MÃO, COM DISTÂNCIAS MENORES OU IGUAIS A 50M, INCLUSIVE CARGA/DESCARGA</t>
  </si>
  <si>
    <t>TRANSPORTE DE MATERIAL DE QUALQUER NATUREZA EM CAMINHÃO, DISTÂNCIA MAIOR QUE 1KM E MENOR OU IGUAL A 2KM, DENTRO DO PERÍMETRO URBANO, EXCLUSIVE CARGA, INCLUSIVE DESCARGA</t>
  </si>
  <si>
    <t>RO-13915</t>
  </si>
  <si>
    <t>ED-50701</t>
  </si>
  <si>
    <t>CAPINA MANUAL DO TERRENO, EXCLUSIVE RASTELAMENTO E QUEIMA</t>
  </si>
  <si>
    <t>ED-50699</t>
  </si>
  <si>
    <t>ED-50697</t>
  </si>
  <si>
    <t>CORTE DE ÁRVORE COM MOTOSSERRA, DIÂMETRO DO TRONCO DE QUINZE (15) CENTÍMETROS ATÉ TRINTA (30) CENTÍMETROS, EXCLUSIVE DESTOCAMENTO E AFASTAMENTO</t>
  </si>
  <si>
    <t>CORTE DE ÁRVORE COM MOTOSSERRA, DIÂMETRO DO TRONCO ACIMA DE TRINTA (30) CENTÍMETROS ATÉ CINQUENTA (50) CENTÍMETROS, EXCLUSIVE DESTOCAMENTO E AFASTAMENTO</t>
  </si>
  <si>
    <t>COORDENADAS: (SEDE)</t>
  </si>
  <si>
    <t>CO-28364</t>
  </si>
  <si>
    <t xml:space="preserve">DESLOCAMENTO E TRANSPORTE </t>
  </si>
  <si>
    <t>VEÍCULO TIPO PICAPE LEVE, COM CAPACIDADE PARA CINCO (5) LUGARES, OBEDECIDOS OS SEGUINTES REQUISITOS MÍNIMOS: TER NO MÁXIMO UM (1) ANO DE USO, ATÉ 20.000KM RODADOS, POTÊNCIA MÍNIMA DE 100CV, DIREÇÃO ASSISTIDA, AR CONDICIONADO, DESEMBAÇADOR DE VIDROS, RÁDIO AM/FM, EMPLACADO, COM SEGURO TOTAL (CUSTO FIXO), EXCLUSIVE QUILÔMETRO RODADO (CUSTO VARIÁVEL)</t>
  </si>
  <si>
    <t>3.2.4</t>
  </si>
  <si>
    <t>3.2.4.1</t>
  </si>
  <si>
    <t>3.2.4.2</t>
  </si>
  <si>
    <t>3.2.4.3</t>
  </si>
  <si>
    <t>3.2.4.4</t>
  </si>
  <si>
    <t>3.2.4.5</t>
  </si>
  <si>
    <t>3.2.4.6</t>
  </si>
  <si>
    <t>3.5.6</t>
  </si>
  <si>
    <t>3.5.7</t>
  </si>
  <si>
    <t>3.6.4</t>
  </si>
  <si>
    <t>3.8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</si>
  <si>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</si>
  <si>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</si>
  <si>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</si>
  <si>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</si>
  <si>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</si>
  <si>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</si>
  <si>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</si>
  <si>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</si>
  <si>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3.8.9</t>
  </si>
  <si>
    <t>3.5.7.1</t>
  </si>
  <si>
    <t>3.5.7.2</t>
  </si>
  <si>
    <t>3.5.7.3</t>
  </si>
  <si>
    <t>disponibilização de veículo para transporte da equipe de trabalho</t>
  </si>
  <si>
    <t>cronograma de obra</t>
  </si>
  <si>
    <t>distância para transporte da equipe de trabalho até os locais de execução dos serviços</t>
  </si>
  <si>
    <t>área de recomposição = comprimento x largura</t>
  </si>
  <si>
    <t>quantidade de serviços estimados x distância por serviço</t>
  </si>
  <si>
    <t>estimativa de horas produtivas</t>
  </si>
  <si>
    <t>estimativa de horas improdutivas</t>
  </si>
  <si>
    <t>área de recomposição = quantidade de quebra-molas x largura média x comprimento</t>
  </si>
  <si>
    <t>volume de material a ser compactado p/ execução quebra-molas</t>
  </si>
  <si>
    <t xml:space="preserve">volume = quantidade quebra-molas x área CAD=0,45m2 </t>
  </si>
  <si>
    <t>0,15m alt</t>
  </si>
  <si>
    <t>LIMPEZA GERAL E OUTROS SERVIÇOS EM VIAS PÚBLICAS</t>
  </si>
  <si>
    <t>LIMPEZA MANUAL DE BUEIROS</t>
  </si>
  <si>
    <t>volume de material transportado</t>
  </si>
  <si>
    <t>volume de material x distância de transporte</t>
  </si>
  <si>
    <t>volume de material x 2km</t>
  </si>
  <si>
    <t>volume de material escavado</t>
  </si>
  <si>
    <t>volume de material de limpeza</t>
  </si>
  <si>
    <t>volume = quantidade bueiros x dimensões médias (0,60x0,80x1,00)</t>
  </si>
  <si>
    <t>estimativa de horas = no. dias x no. horas</t>
  </si>
  <si>
    <t>área de capina</t>
  </si>
  <si>
    <t>área = comprimento x largura</t>
  </si>
  <si>
    <t>quantidade de árvores</t>
  </si>
  <si>
    <t>área = 50,00 x 5,50 x 4,50</t>
  </si>
  <si>
    <t>(12 meses x 4 semanas x 5 dias x 4 horas) / 220 horas</t>
  </si>
  <si>
    <t>(12 meses x 4 semanas x 5 dias x 0,1 horas) / 220 horas</t>
  </si>
  <si>
    <t>(12 meses x 4 semanas x 5 dias x 0,2 horas) / 220 horas</t>
  </si>
  <si>
    <t>12 (doze) meses</t>
  </si>
  <si>
    <t>volume = 30% da área recomposição calç x 0,50 m espessura</t>
  </si>
  <si>
    <t>volume = 30% da área de recomposição calçamento x 0,20 m espessura</t>
  </si>
  <si>
    <t>volume de material escavado = 30% da área de recomposição calç x 1,00 m espessura x distância 10km</t>
  </si>
  <si>
    <t>MÊS 7</t>
  </si>
  <si>
    <t>MÊS 8</t>
  </si>
  <si>
    <t>MÊS 9</t>
  </si>
  <si>
    <t>MÊS 10</t>
  </si>
  <si>
    <t>MÊS 11</t>
  </si>
  <si>
    <t>MÊS 12</t>
  </si>
  <si>
    <t>ENROCAMENTO DE PEDRA ESPALHADA E COMPACTADA MECANICAMENTE - PEDRA DE MÃO COMERCIAL - FORNECIMENTO E ASSENTAMENTO</t>
  </si>
  <si>
    <t>EMOP    06.015.0061-0</t>
  </si>
  <si>
    <t>GRELHA CAIXILHO DE CONCRETO ARMADO,SENDO AS DIMENSOES EXTERN AS DE 0,40X0,90M (GRELHA) E 1,10X0,54M (CAIXILHO).EXCLUSIVE FORMAS.FORNECIMENTO E COLOCACAO 3% - DESGASTE DE FERRAMENTAS E EPI</t>
  </si>
  <si>
    <t>quantidade de grelhas danificadas a serem substituídas</t>
  </si>
  <si>
    <t>PASSEIOS DE CONCRETO P/ ESCOAMENTO DAS ÁGUAS PLUVIAIS DOS TALUDES</t>
  </si>
  <si>
    <t>3.9.1</t>
  </si>
  <si>
    <t>3.9</t>
  </si>
  <si>
    <t>3.9.2</t>
  </si>
  <si>
    <t>3.9.3</t>
  </si>
  <si>
    <t>3.9.4</t>
  </si>
  <si>
    <t>ED-49643</t>
  </si>
  <si>
    <t>FÔRMA E DESFORMA DE TÁBUA E SARRAFO, REAPROVEITAMENTO (3X), EXCLUSIVE ESCORAMENTO</t>
  </si>
  <si>
    <t>m2</t>
  </si>
  <si>
    <t>ED-48298</t>
  </si>
  <si>
    <t>CORTE, DOBRA E ARMAÇÃO DE AÇO CA-50/60</t>
  </si>
  <si>
    <t>kg</t>
  </si>
  <si>
    <t>ED-49630</t>
  </si>
  <si>
    <t>FORNECIMENTO CONCRETO ESTRUTURAL, PREPARADO OBRA, COM FCK 25 MPA, INCL LANÇAMENTO, ADENSAMENTO E ACABAMENTO</t>
  </si>
  <si>
    <t>m3</t>
  </si>
  <si>
    <t>ED-48213</t>
  </si>
  <si>
    <t>ALVENARIA DE BLOCO DE CONCRETO CHEIO, CONCRETO FCK = 15 MPA E ARMAÇÃO E=19CM</t>
  </si>
  <si>
    <t>3.9.5</t>
  </si>
  <si>
    <t>3.9.6</t>
  </si>
  <si>
    <t>ED-51107</t>
  </si>
  <si>
    <t>REATERRO COMPACTADO COM EQUIPAMENTO PLACA VIBRATÓRIA</t>
  </si>
  <si>
    <r>
      <t xml:space="preserve">MÊS DE REFERÊNCIA: </t>
    </r>
    <r>
      <rPr>
        <b/>
        <sz val="9"/>
        <color indexed="8"/>
        <rFont val="Calibri"/>
        <family val="2"/>
      </rPr>
      <t>SETOP LESTE-04/26 DES /// SINAPI-07/26 DES</t>
    </r>
    <r>
      <rPr>
        <b/>
        <sz val="9"/>
        <color indexed="8"/>
        <rFont val="Calibri"/>
        <family val="2"/>
        <scheme val="minor"/>
      </rPr>
      <t xml:space="preserve"> /// EMOP-07/26 DES</t>
    </r>
  </si>
  <si>
    <t>DATA: 02/09/26</t>
  </si>
  <si>
    <t>ESCAVAÇÃO MANUAL DE VALAS H &lt;= 1,50 M</t>
  </si>
  <si>
    <t>3.9.7</t>
  </si>
  <si>
    <t>3.9.8</t>
  </si>
  <si>
    <t>volume de material escavado manualmente</t>
  </si>
  <si>
    <t>volume de material reaterrado</t>
  </si>
  <si>
    <t>área de fôrmas para execução das estruturas</t>
  </si>
  <si>
    <t>peso do aço para execução das estruturas</t>
  </si>
  <si>
    <t>volume de concreto para execução das estruturas</t>
  </si>
  <si>
    <t>área alvenaria em blocos cheios p/ execução das estruturas</t>
  </si>
  <si>
    <t>área = 700,00 x 1,00</t>
  </si>
  <si>
    <t>ESTRUTURAS DE CONCRETO ARMADO DE CONTENÇÃO, INFRAESTRUTURA E/OU AFINS</t>
  </si>
  <si>
    <r>
      <t xml:space="preserve">OBRA: SISTEMA DE REGISTRO DE PREÇOS P/ EXECUÇÃO DE </t>
    </r>
    <r>
      <rPr>
        <b/>
        <sz val="9"/>
        <color indexed="8"/>
        <rFont val="Calibri"/>
        <family val="2"/>
      </rPr>
      <t>SERVIÇOS DIVERSOS</t>
    </r>
    <r>
      <rPr>
        <b/>
        <sz val="9"/>
        <color indexed="8"/>
        <rFont val="Calibri"/>
        <family val="2"/>
        <scheme val="minor"/>
      </rPr>
      <t xml:space="preserve"> DE ENGENHARIA</t>
    </r>
  </si>
  <si>
    <r>
      <t>LOCAL:</t>
    </r>
    <r>
      <rPr>
        <b/>
        <sz val="9"/>
        <color rgb="FF000000"/>
        <rFont val="Calibri"/>
        <family val="2"/>
      </rPr>
      <t xml:space="preserve"> VIAS PÚBLICAS DIVERSAS DO MUNICÍPIO DE SANTA CRUZ DO ESCALVADO (MG)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</si>
</sst>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&quot;R$ &quot;#,##0.00"/>
    <numFmt numFmtId="167" formatCode="[$-416]mmm\-yy;@"/>
    <numFmt numFmtId="168" formatCode="&quot;R$&quot;\ #,##0.00"/>
    <numFmt numFmtId="169" formatCode="#0.0000"/>
    <numFmt numFmtId="170" formatCode="##0.0000"/>
    <numFmt numFmtId="171" formatCode="_-&quot;R$ &quot;* #,##0.00_-;&quot;-R$ &quot;* #,##0.00_-;_-&quot;R$ &quot;* \-??_-;_-@_-"/>
    <numFmt numFmtId="172" formatCode="_(* #,##0.00_);_(* \(#,##0.00\);_(* \-??_);_(@_)"/>
    <numFmt numFmtId="173" formatCode="_-* #,##0.00_-;\-* #,##0.00_-;_-* \-???_-;_-@_-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.5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8"/>
      <name val="Times New Roman"/>
      <family val="1"/>
    </font>
    <font>
      <sz val="10"/>
      <color indexed="55"/>
      <name val="Times New Roman"/>
      <family val="1"/>
    </font>
    <font>
      <sz val="10"/>
      <color indexed="22"/>
      <name val="Times New Roman"/>
      <family val="1"/>
    </font>
    <font>
      <sz val="6"/>
      <color indexed="54"/>
      <name val="Times New Roman"/>
      <family val="1"/>
    </font>
    <font>
      <sz val="6"/>
      <color indexed="22"/>
      <name val="Times New Roman"/>
      <family val="1"/>
    </font>
    <font>
      <sz val="6"/>
      <color indexed="55"/>
      <name val="Times New Roman"/>
      <family val="1"/>
    </font>
    <font>
      <sz val="10"/>
      <color indexed="9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2"/>
      <color indexed="18"/>
      <name val="Times New Roman"/>
      <family val="1"/>
    </font>
    <font>
      <sz val="6"/>
      <color indexed="18"/>
      <name val="Times New Roman"/>
      <family val="1"/>
    </font>
    <font>
      <i/>
      <sz val="11"/>
      <name val="Times New Roman"/>
      <family val="1"/>
    </font>
    <font>
      <b/>
      <sz val="9"/>
      <color indexed="8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10"/>
      <name val="Calibri"/>
      <family val="2"/>
      <scheme val="minor"/>
    </font>
    <font>
      <b/>
      <sz val="11"/>
      <name val="Times New Roman"/>
      <family val="1"/>
    </font>
    <font>
      <sz val="10"/>
      <color rgb="FF000000"/>
      <name val="Arial"/>
      <family val="2"/>
    </font>
    <font>
      <b/>
      <sz val="9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71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70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5" fontId="9" fillId="0" borderId="0" xfId="12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4" fillId="0" borderId="0" xfId="4"/>
    <xf numFmtId="0" fontId="12" fillId="0" borderId="0" xfId="4" applyFont="1"/>
    <xf numFmtId="0" fontId="4" fillId="0" borderId="0" xfId="4" applyAlignment="1">
      <alignment vertical="center"/>
    </xf>
    <xf numFmtId="0" fontId="4" fillId="0" borderId="0" xfId="4" applyAlignment="1">
      <alignment horizontal="center"/>
    </xf>
    <xf numFmtId="165" fontId="4" fillId="0" borderId="0" xfId="10" applyAlignment="1">
      <alignment horizontal="center"/>
    </xf>
    <xf numFmtId="165" fontId="4" fillId="0" borderId="0" xfId="10"/>
    <xf numFmtId="2" fontId="4" fillId="0" borderId="0" xfId="10" applyNumberFormat="1" applyFont="1" applyBorder="1" applyAlignment="1">
      <alignment horizontal="right"/>
    </xf>
    <xf numFmtId="2" fontId="4" fillId="0" borderId="0" xfId="10" applyNumberFormat="1" applyBorder="1" applyAlignment="1">
      <alignment horizontal="right"/>
    </xf>
    <xf numFmtId="165" fontId="6" fillId="0" borderId="0" xfId="12" applyFont="1"/>
    <xf numFmtId="165" fontId="9" fillId="0" borderId="0" xfId="12" applyFont="1" applyAlignment="1">
      <alignment horizontal="left"/>
    </xf>
    <xf numFmtId="43" fontId="6" fillId="0" borderId="0" xfId="0" applyNumberFormat="1" applyFont="1"/>
    <xf numFmtId="0" fontId="10" fillId="0" borderId="0" xfId="0" applyFont="1"/>
    <xf numFmtId="2" fontId="6" fillId="0" borderId="0" xfId="12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/>
    <xf numFmtId="165" fontId="5" fillId="0" borderId="0" xfId="12" applyFont="1" applyBorder="1" applyAlignment="1">
      <alignment horizontal="center" vertical="center"/>
    </xf>
    <xf numFmtId="0" fontId="6" fillId="0" borderId="0" xfId="5" applyFont="1"/>
    <xf numFmtId="0" fontId="4" fillId="0" borderId="0" xfId="6"/>
    <xf numFmtId="0" fontId="4" fillId="0" borderId="0" xfId="5"/>
    <xf numFmtId="0" fontId="4" fillId="0" borderId="0" xfId="5" applyAlignment="1">
      <alignment horizontal="center"/>
    </xf>
    <xf numFmtId="165" fontId="4" fillId="0" borderId="0" xfId="5" applyNumberFormat="1"/>
    <xf numFmtId="2" fontId="4" fillId="0" borderId="0" xfId="5" applyNumberFormat="1"/>
    <xf numFmtId="0" fontId="6" fillId="0" borderId="0" xfId="0" applyFont="1" applyAlignment="1">
      <alignment wrapText="1"/>
    </xf>
    <xf numFmtId="0" fontId="16" fillId="0" borderId="0" xfId="4" applyFont="1" applyAlignment="1">
      <alignment vertical="center"/>
    </xf>
    <xf numFmtId="0" fontId="17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 wrapText="1"/>
    </xf>
    <xf numFmtId="0" fontId="18" fillId="0" borderId="0" xfId="4" applyFont="1" applyAlignment="1">
      <alignment vertical="center"/>
    </xf>
    <xf numFmtId="0" fontId="15" fillId="0" borderId="1" xfId="4" applyFont="1" applyBorder="1" applyAlignment="1">
      <alignment vertical="center" wrapText="1"/>
    </xf>
    <xf numFmtId="0" fontId="19" fillId="0" borderId="0" xfId="4" applyFont="1" applyAlignment="1" applyProtection="1">
      <alignment vertical="center"/>
      <protection hidden="1"/>
    </xf>
    <xf numFmtId="0" fontId="19" fillId="0" borderId="0" xfId="4" applyFont="1" applyAlignment="1">
      <alignment vertical="center"/>
    </xf>
    <xf numFmtId="0" fontId="19" fillId="0" borderId="0" xfId="4" applyFont="1" applyAlignment="1" applyProtection="1">
      <alignment horizontal="left" vertical="center"/>
      <protection hidden="1"/>
    </xf>
    <xf numFmtId="0" fontId="21" fillId="0" borderId="0" xfId="4" applyFont="1" applyAlignment="1" applyProtection="1">
      <alignment vertical="center"/>
      <protection hidden="1"/>
    </xf>
    <xf numFmtId="0" fontId="21" fillId="0" borderId="0" xfId="4" applyFont="1" applyAlignment="1">
      <alignment vertical="center"/>
    </xf>
    <xf numFmtId="0" fontId="13" fillId="3" borderId="2" xfId="4" applyFont="1" applyFill="1" applyBorder="1" applyAlignment="1">
      <alignment horizontal="center" vertical="center" wrapText="1"/>
    </xf>
    <xf numFmtId="0" fontId="13" fillId="3" borderId="3" xfId="4" applyFont="1" applyFill="1" applyBorder="1" applyAlignment="1">
      <alignment horizontal="center" vertical="center" wrapText="1"/>
    </xf>
    <xf numFmtId="0" fontId="15" fillId="0" borderId="4" xfId="4" applyFont="1" applyBorder="1" applyAlignment="1">
      <alignment vertical="center" wrapText="1"/>
    </xf>
    <xf numFmtId="2" fontId="15" fillId="0" borderId="5" xfId="4" applyNumberFormat="1" applyFont="1" applyBorder="1" applyAlignment="1" applyProtection="1">
      <alignment horizontal="center" vertical="center" wrapText="1"/>
      <protection hidden="1"/>
    </xf>
    <xf numFmtId="2" fontId="15" fillId="4" borderId="6" xfId="4" quotePrefix="1" applyNumberFormat="1" applyFont="1" applyFill="1" applyBorder="1" applyAlignment="1" applyProtection="1">
      <alignment horizontal="center" vertical="center" wrapText="1"/>
      <protection locked="0"/>
    </xf>
    <xf numFmtId="2" fontId="15" fillId="4" borderId="0" xfId="4" quotePrefix="1" applyNumberFormat="1" applyFont="1" applyFill="1" applyAlignment="1" applyProtection="1">
      <alignment vertical="center" wrapText="1"/>
      <protection hidden="1"/>
    </xf>
    <xf numFmtId="0" fontId="15" fillId="0" borderId="4" xfId="4" applyFont="1" applyBorder="1" applyAlignment="1">
      <alignment horizontal="left" vertical="center" wrapText="1"/>
    </xf>
    <xf numFmtId="2" fontId="15" fillId="4" borderId="7" xfId="4" applyNumberFormat="1" applyFont="1" applyFill="1" applyBorder="1" applyAlignment="1" applyProtection="1">
      <alignment horizontal="center" vertical="center" wrapText="1"/>
      <protection locked="0"/>
    </xf>
    <xf numFmtId="2" fontId="15" fillId="4" borderId="0" xfId="4" applyNumberFormat="1" applyFont="1" applyFill="1" applyAlignment="1" applyProtection="1">
      <alignment vertical="center" wrapText="1"/>
      <protection hidden="1"/>
    </xf>
    <xf numFmtId="0" fontId="22" fillId="5" borderId="0" xfId="4" applyFont="1" applyFill="1" applyAlignment="1" applyProtection="1">
      <alignment vertical="center"/>
      <protection hidden="1"/>
    </xf>
    <xf numFmtId="0" fontId="22" fillId="5" borderId="0" xfId="4" applyFont="1" applyFill="1" applyAlignment="1" applyProtection="1">
      <alignment vertical="center" wrapText="1"/>
      <protection hidden="1"/>
    </xf>
    <xf numFmtId="2" fontId="15" fillId="0" borderId="8" xfId="4" applyNumberFormat="1" applyFont="1" applyBorder="1" applyAlignment="1" applyProtection="1">
      <alignment horizontal="center" vertical="center" wrapText="1"/>
      <protection hidden="1"/>
    </xf>
    <xf numFmtId="2" fontId="15" fillId="0" borderId="9" xfId="4" applyNumberFormat="1" applyFont="1" applyBorder="1" applyAlignment="1">
      <alignment horizontal="center" vertical="center" wrapText="1"/>
    </xf>
    <xf numFmtId="0" fontId="13" fillId="0" borderId="10" xfId="4" applyFont="1" applyBorder="1" applyAlignment="1">
      <alignment vertical="center" wrapText="1"/>
    </xf>
    <xf numFmtId="2" fontId="13" fillId="0" borderId="11" xfId="4" applyNumberFormat="1" applyFont="1" applyBorder="1" applyAlignment="1" applyProtection="1">
      <alignment horizontal="center" vertical="center" wrapText="1"/>
      <protection hidden="1"/>
    </xf>
    <xf numFmtId="2" fontId="13" fillId="0" borderId="12" xfId="4" applyNumberFormat="1" applyFont="1" applyBorder="1" applyAlignment="1" applyProtection="1">
      <alignment horizontal="center" vertical="center" wrapText="1"/>
      <protection hidden="1"/>
    </xf>
    <xf numFmtId="0" fontId="23" fillId="0" borderId="0" xfId="4" applyFont="1" applyAlignment="1" applyProtection="1">
      <alignment vertical="center"/>
      <protection hidden="1"/>
    </xf>
    <xf numFmtId="0" fontId="24" fillId="0" borderId="0" xfId="4" applyFont="1" applyAlignment="1" applyProtection="1">
      <alignment vertical="center"/>
      <protection hidden="1"/>
    </xf>
    <xf numFmtId="0" fontId="25" fillId="0" borderId="0" xfId="4" applyFont="1" applyAlignment="1" applyProtection="1">
      <alignment vertical="center"/>
      <protection hidden="1"/>
    </xf>
    <xf numFmtId="0" fontId="26" fillId="0" borderId="0" xfId="4" applyFont="1" applyAlignment="1" applyProtection="1">
      <alignment vertical="center"/>
      <protection hidden="1"/>
    </xf>
    <xf numFmtId="0" fontId="15" fillId="0" borderId="0" xfId="4" applyFont="1" applyAlignment="1">
      <alignment vertical="center"/>
    </xf>
    <xf numFmtId="0" fontId="21" fillId="0" borderId="0" xfId="4" applyFont="1" applyAlignment="1">
      <alignment horizontal="right" vertical="center"/>
    </xf>
    <xf numFmtId="2" fontId="15" fillId="0" borderId="13" xfId="4" applyNumberFormat="1" applyFont="1" applyBorder="1" applyAlignment="1" applyProtection="1">
      <alignment horizontal="center" vertical="center" wrapText="1"/>
      <protection hidden="1"/>
    </xf>
    <xf numFmtId="0" fontId="27" fillId="0" borderId="0" xfId="4" applyFont="1" applyAlignment="1" applyProtection="1">
      <alignment vertical="center"/>
      <protection hidden="1"/>
    </xf>
    <xf numFmtId="0" fontId="19" fillId="0" borderId="0" xfId="4" applyFont="1" applyAlignment="1">
      <alignment horizontal="right" vertical="center"/>
    </xf>
    <xf numFmtId="2" fontId="19" fillId="0" borderId="0" xfId="4" applyNumberFormat="1" applyFont="1" applyAlignment="1" applyProtection="1">
      <alignment horizontal="center" vertical="center"/>
      <protection hidden="1"/>
    </xf>
    <xf numFmtId="0" fontId="28" fillId="0" borderId="0" xfId="4" applyFont="1" applyAlignment="1" applyProtection="1">
      <alignment vertical="center"/>
      <protection hidden="1"/>
    </xf>
    <xf numFmtId="0" fontId="29" fillId="0" borderId="0" xfId="4" applyFont="1" applyAlignment="1">
      <alignment horizontal="justify" vertical="center"/>
    </xf>
    <xf numFmtId="0" fontId="29" fillId="0" borderId="0" xfId="4" applyFont="1" applyAlignment="1">
      <alignment horizontal="left" vertical="center"/>
    </xf>
    <xf numFmtId="0" fontId="29" fillId="6" borderId="0" xfId="4" applyFont="1" applyFill="1" applyAlignment="1" applyProtection="1">
      <alignment horizontal="left"/>
      <protection locked="0"/>
    </xf>
    <xf numFmtId="0" fontId="29" fillId="0" borderId="14" xfId="4" applyFont="1" applyBorder="1" applyAlignment="1">
      <alignment horizontal="left" vertical="center"/>
    </xf>
    <xf numFmtId="0" fontId="29" fillId="4" borderId="0" xfId="4" applyFont="1" applyFill="1" applyAlignment="1">
      <alignment horizontal="left" vertical="center"/>
    </xf>
    <xf numFmtId="0" fontId="22" fillId="5" borderId="0" xfId="4" applyFont="1" applyFill="1" applyAlignment="1">
      <alignment vertical="center"/>
    </xf>
    <xf numFmtId="0" fontId="22" fillId="5" borderId="0" xfId="4" applyFont="1" applyFill="1" applyAlignment="1">
      <alignment vertical="center" wrapText="1"/>
    </xf>
    <xf numFmtId="0" fontId="31" fillId="5" borderId="0" xfId="4" applyFont="1" applyFill="1" applyAlignment="1">
      <alignment vertical="center"/>
    </xf>
    <xf numFmtId="0" fontId="32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31" fillId="0" borderId="0" xfId="4" applyFont="1" applyAlignment="1">
      <alignment horizontal="center" vertical="center" wrapText="1"/>
    </xf>
    <xf numFmtId="0" fontId="15" fillId="0" borderId="0" xfId="4" applyFont="1" applyAlignment="1">
      <alignment vertical="center" wrapText="1"/>
    </xf>
    <xf numFmtId="2" fontId="15" fillId="0" borderId="0" xfId="4" applyNumberFormat="1" applyFont="1" applyAlignment="1">
      <alignment vertical="center" wrapText="1"/>
    </xf>
    <xf numFmtId="0" fontId="13" fillId="0" borderId="0" xfId="4" applyFont="1" applyAlignment="1">
      <alignment vertical="center" wrapText="1"/>
    </xf>
    <xf numFmtId="2" fontId="13" fillId="0" borderId="0" xfId="4" applyNumberFormat="1" applyFont="1" applyAlignment="1">
      <alignment vertical="center" wrapText="1"/>
    </xf>
    <xf numFmtId="0" fontId="4" fillId="0" borderId="15" xfId="4" applyBorder="1"/>
    <xf numFmtId="2" fontId="15" fillId="0" borderId="15" xfId="4" applyNumberFormat="1" applyFont="1" applyBorder="1" applyAlignment="1">
      <alignment horizontal="right" wrapText="1"/>
    </xf>
    <xf numFmtId="2" fontId="15" fillId="0" borderId="15" xfId="4" applyNumberFormat="1" applyFont="1" applyBorder="1" applyAlignment="1">
      <alignment wrapText="1"/>
    </xf>
    <xf numFmtId="2" fontId="13" fillId="0" borderId="11" xfId="4" applyNumberFormat="1" applyFont="1" applyBorder="1" applyAlignment="1">
      <alignment wrapText="1"/>
    </xf>
    <xf numFmtId="10" fontId="8" fillId="0" borderId="15" xfId="7" applyNumberFormat="1" applyFont="1" applyBorder="1" applyAlignment="1">
      <alignment horizontal="center" vertical="center"/>
    </xf>
    <xf numFmtId="165" fontId="5" fillId="0" borderId="0" xfId="13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5" fontId="8" fillId="0" borderId="0" xfId="12" applyFont="1" applyAlignment="1">
      <alignment horizontal="center"/>
    </xf>
    <xf numFmtId="0" fontId="8" fillId="0" borderId="0" xfId="0" applyFont="1"/>
    <xf numFmtId="43" fontId="8" fillId="0" borderId="0" xfId="0" applyNumberFormat="1" applyFont="1"/>
    <xf numFmtId="165" fontId="8" fillId="0" borderId="15" xfId="12" applyFont="1" applyBorder="1" applyAlignment="1">
      <alignment horizontal="center"/>
    </xf>
    <xf numFmtId="165" fontId="8" fillId="0" borderId="0" xfId="12" applyFont="1" applyAlignment="1">
      <alignment horizontal="center" vertical="center"/>
    </xf>
    <xf numFmtId="168" fontId="8" fillId="0" borderId="16" xfId="0" applyNumberFormat="1" applyFont="1" applyBorder="1" applyAlignment="1">
      <alignment vertical="center"/>
    </xf>
    <xf numFmtId="10" fontId="2" fillId="2" borderId="17" xfId="0" applyNumberFormat="1" applyFont="1" applyFill="1" applyBorder="1" applyAlignment="1">
      <alignment horizontal="center" vertical="center"/>
    </xf>
    <xf numFmtId="165" fontId="2" fillId="2" borderId="15" xfId="12" applyFont="1" applyFill="1" applyBorder="1" applyAlignment="1">
      <alignment wrapText="1"/>
    </xf>
    <xf numFmtId="43" fontId="8" fillId="0" borderId="0" xfId="0" applyNumberFormat="1" applyFont="1" applyAlignment="1">
      <alignment vertical="center"/>
    </xf>
    <xf numFmtId="165" fontId="8" fillId="0" borderId="0" xfId="12" applyFont="1" applyBorder="1" applyAlignment="1">
      <alignment horizontal="center" vertical="center"/>
    </xf>
    <xf numFmtId="0" fontId="6" fillId="2" borderId="0" xfId="4" applyFont="1" applyFill="1" applyAlignment="1">
      <alignment horizontal="left" vertical="top" wrapText="1"/>
    </xf>
    <xf numFmtId="0" fontId="6" fillId="2" borderId="0" xfId="4" applyFont="1" applyFill="1" applyAlignment="1">
      <alignment horizontal="center" vertical="top" wrapText="1"/>
    </xf>
    <xf numFmtId="169" fontId="6" fillId="2" borderId="0" xfId="4" applyNumberFormat="1" applyFont="1" applyFill="1" applyAlignment="1">
      <alignment horizontal="right" vertical="top" wrapText="1"/>
    </xf>
    <xf numFmtId="170" fontId="6" fillId="2" borderId="0" xfId="4" applyNumberFormat="1" applyFont="1" applyFill="1" applyAlignment="1">
      <alignment horizontal="right" vertical="top" wrapText="1"/>
    </xf>
    <xf numFmtId="165" fontId="6" fillId="0" borderId="0" xfId="13" applyFont="1" applyBorder="1"/>
    <xf numFmtId="0" fontId="2" fillId="0" borderId="0" xfId="0" applyFont="1" applyAlignment="1">
      <alignment horizontal="center" vertical="center"/>
    </xf>
    <xf numFmtId="165" fontId="8" fillId="0" borderId="15" xfId="13" applyFont="1" applyBorder="1" applyAlignment="1">
      <alignment horizontal="center" vertical="center"/>
    </xf>
    <xf numFmtId="165" fontId="2" fillId="0" borderId="15" xfId="13" applyFont="1" applyBorder="1" applyAlignment="1">
      <alignment horizontal="center" vertical="center"/>
    </xf>
    <xf numFmtId="0" fontId="0" fillId="0" borderId="0" xfId="0" applyAlignment="1">
      <alignment vertical="center"/>
    </xf>
    <xf numFmtId="173" fontId="2" fillId="0" borderId="5" xfId="0" applyNumberFormat="1" applyFont="1" applyBorder="1" applyAlignment="1">
      <alignment vertical="center"/>
    </xf>
    <xf numFmtId="172" fontId="2" fillId="0" borderId="13" xfId="3" applyNumberFormat="1" applyFont="1" applyBorder="1" applyAlignment="1">
      <alignment vertical="center"/>
    </xf>
    <xf numFmtId="165" fontId="8" fillId="0" borderId="5" xfId="12" applyFont="1" applyBorder="1" applyAlignment="1">
      <alignment vertical="center"/>
    </xf>
    <xf numFmtId="165" fontId="8" fillId="0" borderId="13" xfId="12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65" fontId="2" fillId="0" borderId="0" xfId="9" applyFont="1" applyFill="1" applyBorder="1" applyAlignment="1">
      <alignment vertical="center" wrapText="1"/>
    </xf>
    <xf numFmtId="165" fontId="35" fillId="0" borderId="15" xfId="12" applyFont="1" applyFill="1" applyBorder="1" applyAlignment="1">
      <alignment horizontal="center" vertical="center"/>
    </xf>
    <xf numFmtId="49" fontId="36" fillId="0" borderId="15" xfId="0" applyNumberFormat="1" applyFont="1" applyBorder="1" applyAlignment="1">
      <alignment horizontal="left" vertical="center" wrapText="1"/>
    </xf>
    <xf numFmtId="168" fontId="37" fillId="7" borderId="15" xfId="12" applyNumberFormat="1" applyFont="1" applyFill="1" applyBorder="1" applyAlignment="1">
      <alignment horizontal="right" vertical="center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center" vertical="center" wrapText="1"/>
    </xf>
    <xf numFmtId="165" fontId="37" fillId="0" borderId="15" xfId="12" applyFont="1" applyFill="1" applyBorder="1" applyAlignment="1">
      <alignment horizontal="center" vertical="center"/>
    </xf>
    <xf numFmtId="165" fontId="40" fillId="0" borderId="15" xfId="12" applyFont="1" applyBorder="1"/>
    <xf numFmtId="165" fontId="40" fillId="0" borderId="15" xfId="12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 wrapText="1"/>
    </xf>
    <xf numFmtId="165" fontId="36" fillId="0" borderId="15" xfId="12" applyFont="1" applyFill="1" applyBorder="1" applyAlignment="1">
      <alignment horizontal="center" vertical="center"/>
    </xf>
    <xf numFmtId="165" fontId="39" fillId="0" borderId="15" xfId="12" applyFont="1" applyFill="1" applyBorder="1" applyAlignment="1">
      <alignment horizontal="right" vertical="center" wrapText="1"/>
    </xf>
    <xf numFmtId="0" fontId="37" fillId="0" borderId="15" xfId="0" applyFont="1" applyBorder="1" applyAlignment="1">
      <alignment horizontal="center" vertical="center"/>
    </xf>
    <xf numFmtId="0" fontId="41" fillId="0" borderId="15" xfId="0" applyFont="1" applyBorder="1" applyAlignment="1">
      <alignment vertical="center"/>
    </xf>
    <xf numFmtId="0" fontId="40" fillId="0" borderId="15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165" fontId="40" fillId="0" borderId="15" xfId="12" applyFont="1" applyFill="1" applyBorder="1" applyAlignment="1">
      <alignment horizontal="center" vertical="center"/>
    </xf>
    <xf numFmtId="49" fontId="36" fillId="0" borderId="15" xfId="0" applyNumberFormat="1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165" fontId="36" fillId="0" borderId="25" xfId="12" applyFont="1" applyBorder="1" applyAlignment="1">
      <alignment horizontal="center" vertical="center" wrapText="1"/>
    </xf>
    <xf numFmtId="49" fontId="41" fillId="0" borderId="15" xfId="0" applyNumberFormat="1" applyFont="1" applyBorder="1" applyAlignment="1">
      <alignment horizontal="left" vertical="center" wrapText="1"/>
    </xf>
    <xf numFmtId="0" fontId="36" fillId="0" borderId="15" xfId="0" applyFont="1" applyBorder="1" applyAlignment="1">
      <alignment vertical="center"/>
    </xf>
    <xf numFmtId="0" fontId="36" fillId="0" borderId="15" xfId="0" applyFont="1" applyBorder="1" applyAlignment="1">
      <alignment vertical="center" wrapText="1"/>
    </xf>
    <xf numFmtId="0" fontId="40" fillId="0" borderId="15" xfId="0" applyFont="1" applyBorder="1" applyAlignment="1">
      <alignment vertical="center" wrapText="1"/>
    </xf>
    <xf numFmtId="0" fontId="41" fillId="0" borderId="15" xfId="0" applyFont="1" applyBorder="1" applyAlignment="1">
      <alignment horizontal="center" vertical="center"/>
    </xf>
    <xf numFmtId="165" fontId="40" fillId="0" borderId="15" xfId="13" applyFont="1" applyFill="1" applyBorder="1" applyAlignment="1">
      <alignment horizontal="center" vertical="center"/>
    </xf>
    <xf numFmtId="10" fontId="43" fillId="7" borderId="27" xfId="7" applyNumberFormat="1" applyFont="1" applyFill="1" applyBorder="1" applyAlignment="1">
      <alignment horizontal="center" vertical="center"/>
    </xf>
    <xf numFmtId="0" fontId="37" fillId="7" borderId="18" xfId="0" applyFont="1" applyFill="1" applyBorder="1" applyAlignment="1">
      <alignment horizontal="center" vertical="center"/>
    </xf>
    <xf numFmtId="0" fontId="37" fillId="7" borderId="16" xfId="0" applyFont="1" applyFill="1" applyBorder="1" applyAlignment="1">
      <alignment horizontal="left" vertical="center"/>
    </xf>
    <xf numFmtId="0" fontId="37" fillId="7" borderId="15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 wrapText="1"/>
    </xf>
    <xf numFmtId="0" fontId="35" fillId="0" borderId="5" xfId="4" applyFont="1" applyBorder="1" applyAlignment="1">
      <alignment horizontal="center" vertical="center"/>
    </xf>
    <xf numFmtId="0" fontId="35" fillId="0" borderId="15" xfId="4" applyFont="1" applyBorder="1" applyAlignment="1">
      <alignment horizontal="center" vertical="center"/>
    </xf>
    <xf numFmtId="165" fontId="42" fillId="0" borderId="16" xfId="11" applyFont="1" applyFill="1" applyBorder="1" applyAlignment="1">
      <alignment vertical="center"/>
    </xf>
    <xf numFmtId="0" fontId="35" fillId="0" borderId="18" xfId="4" applyFont="1" applyBorder="1" applyAlignment="1">
      <alignment horizontal="center" vertical="center"/>
    </xf>
    <xf numFmtId="165" fontId="35" fillId="0" borderId="16" xfId="12" applyFont="1" applyBorder="1" applyAlignment="1">
      <alignment horizontal="center" vertical="center"/>
    </xf>
    <xf numFmtId="165" fontId="35" fillId="0" borderId="15" xfId="12" applyFont="1" applyBorder="1" applyAlignment="1">
      <alignment vertical="center"/>
    </xf>
    <xf numFmtId="0" fontId="35" fillId="0" borderId="15" xfId="4" applyFont="1" applyBorder="1" applyAlignment="1">
      <alignment horizontal="center" vertical="center" wrapText="1"/>
    </xf>
    <xf numFmtId="165" fontId="35" fillId="0" borderId="15" xfId="12" applyFont="1" applyBorder="1" applyAlignment="1">
      <alignment horizontal="center" vertical="center"/>
    </xf>
    <xf numFmtId="165" fontId="35" fillId="0" borderId="0" xfId="12" applyFont="1" applyBorder="1" applyAlignment="1">
      <alignment horizontal="center" vertical="center"/>
    </xf>
    <xf numFmtId="0" fontId="35" fillId="0" borderId="18" xfId="4" applyFont="1" applyBorder="1" applyAlignment="1">
      <alignment horizontal="center" vertical="center" wrapText="1"/>
    </xf>
    <xf numFmtId="2" fontId="35" fillId="0" borderId="0" xfId="4" applyNumberFormat="1" applyFont="1" applyAlignment="1">
      <alignment horizontal="center" vertical="center"/>
    </xf>
    <xf numFmtId="165" fontId="42" fillId="0" borderId="15" xfId="11" applyFont="1" applyFill="1" applyBorder="1" applyAlignment="1">
      <alignment vertical="center"/>
    </xf>
    <xf numFmtId="165" fontId="42" fillId="0" borderId="15" xfId="12" applyFont="1" applyFill="1" applyBorder="1" applyAlignment="1">
      <alignment vertical="center"/>
    </xf>
    <xf numFmtId="165" fontId="35" fillId="0" borderId="0" xfId="9" applyFont="1" applyFill="1" applyBorder="1" applyAlignment="1">
      <alignment vertical="center" wrapText="1"/>
    </xf>
    <xf numFmtId="2" fontId="35" fillId="0" borderId="1" xfId="13" applyNumberFormat="1" applyFont="1" applyFill="1" applyBorder="1" applyAlignment="1">
      <alignment horizontal="left" vertical="center"/>
    </xf>
    <xf numFmtId="165" fontId="35" fillId="0" borderId="15" xfId="13" applyFont="1" applyBorder="1" applyAlignment="1">
      <alignment horizontal="center" vertical="center"/>
    </xf>
    <xf numFmtId="165" fontId="35" fillId="0" borderId="0" xfId="13" applyFont="1" applyBorder="1" applyAlignment="1">
      <alignment horizontal="center" vertical="center"/>
    </xf>
    <xf numFmtId="165" fontId="42" fillId="0" borderId="16" xfId="13" applyFont="1" applyFill="1" applyBorder="1" applyAlignment="1">
      <alignment vertical="center"/>
    </xf>
    <xf numFmtId="2" fontId="35" fillId="0" borderId="16" xfId="4" applyNumberFormat="1" applyFont="1" applyBorder="1" applyAlignment="1">
      <alignment horizontal="left" vertical="center" wrapText="1"/>
    </xf>
    <xf numFmtId="2" fontId="35" fillId="0" borderId="1" xfId="4" applyNumberFormat="1" applyFont="1" applyBorder="1" applyAlignment="1">
      <alignment horizontal="left" vertical="center" wrapText="1"/>
    </xf>
    <xf numFmtId="0" fontId="36" fillId="0" borderId="0" xfId="4" applyFont="1" applyAlignment="1">
      <alignment vertical="center"/>
    </xf>
    <xf numFmtId="165" fontId="36" fillId="0" borderId="0" xfId="9" applyFont="1" applyFill="1" applyBorder="1" applyAlignment="1">
      <alignment vertical="center" wrapText="1"/>
    </xf>
    <xf numFmtId="0" fontId="36" fillId="0" borderId="0" xfId="4" applyFont="1" applyAlignment="1">
      <alignment horizontal="center"/>
    </xf>
    <xf numFmtId="0" fontId="41" fillId="7" borderId="15" xfId="4" applyFont="1" applyFill="1" applyBorder="1" applyAlignment="1">
      <alignment horizontal="center" vertical="center"/>
    </xf>
    <xf numFmtId="0" fontId="41" fillId="7" borderId="17" xfId="4" applyFont="1" applyFill="1" applyBorder="1" applyAlignment="1">
      <alignment horizontal="center" vertical="center" wrapText="1"/>
    </xf>
    <xf numFmtId="10" fontId="36" fillId="0" borderId="16" xfId="4" applyNumberFormat="1" applyFont="1" applyBorder="1" applyAlignment="1">
      <alignment horizontal="center" vertical="center"/>
    </xf>
    <xf numFmtId="165" fontId="36" fillId="0" borderId="0" xfId="12" applyFont="1" applyAlignment="1">
      <alignment horizontal="center" vertical="center"/>
    </xf>
    <xf numFmtId="43" fontId="36" fillId="0" borderId="0" xfId="4" applyNumberFormat="1" applyFont="1" applyAlignment="1">
      <alignment vertical="center"/>
    </xf>
    <xf numFmtId="2" fontId="36" fillId="0" borderId="0" xfId="10" applyNumberFormat="1" applyFont="1" applyBorder="1" applyAlignment="1">
      <alignment horizontal="right"/>
    </xf>
    <xf numFmtId="0" fontId="35" fillId="0" borderId="0" xfId="4" applyFont="1" applyAlignment="1">
      <alignment vertical="center"/>
    </xf>
    <xf numFmtId="165" fontId="35" fillId="0" borderId="0" xfId="12" applyFont="1" applyAlignment="1">
      <alignment vertical="center"/>
    </xf>
    <xf numFmtId="0" fontId="35" fillId="0" borderId="0" xfId="4" applyFont="1"/>
    <xf numFmtId="2" fontId="35" fillId="0" borderId="0" xfId="4" applyNumberFormat="1" applyFont="1" applyAlignment="1">
      <alignment horizontal="center"/>
    </xf>
    <xf numFmtId="0" fontId="35" fillId="0" borderId="0" xfId="4" applyFont="1" applyAlignment="1">
      <alignment horizontal="center"/>
    </xf>
    <xf numFmtId="0" fontId="45" fillId="0" borderId="0" xfId="4" applyFont="1" applyAlignment="1">
      <alignment horizontal="left"/>
    </xf>
    <xf numFmtId="0" fontId="45" fillId="0" borderId="0" xfId="4" applyFont="1" applyAlignment="1">
      <alignment horizontal="center"/>
    </xf>
    <xf numFmtId="165" fontId="35" fillId="0" borderId="0" xfId="10" applyFont="1" applyBorder="1" applyAlignment="1">
      <alignment horizontal="center"/>
    </xf>
    <xf numFmtId="0" fontId="47" fillId="0" borderId="0" xfId="4" applyFont="1" applyAlignment="1">
      <alignment horizontal="left"/>
    </xf>
    <xf numFmtId="165" fontId="35" fillId="0" borderId="18" xfId="9" applyFont="1" applyFill="1" applyBorder="1" applyAlignment="1">
      <alignment vertical="center" wrapText="1"/>
    </xf>
    <xf numFmtId="2" fontId="35" fillId="0" borderId="16" xfId="12" applyNumberFormat="1" applyFont="1" applyFill="1" applyBorder="1" applyAlignment="1">
      <alignment horizontal="left" vertical="center" wrapText="1"/>
    </xf>
    <xf numFmtId="0" fontId="41" fillId="2" borderId="15" xfId="0" applyFont="1" applyFill="1" applyBorder="1" applyAlignment="1">
      <alignment horizontal="center" vertical="center"/>
    </xf>
    <xf numFmtId="0" fontId="41" fillId="2" borderId="18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 wrapText="1"/>
    </xf>
    <xf numFmtId="49" fontId="42" fillId="2" borderId="32" xfId="0" applyNumberFormat="1" applyFont="1" applyFill="1" applyBorder="1" applyAlignment="1">
      <alignment horizontal="center" vertical="center" wrapText="1"/>
    </xf>
    <xf numFmtId="49" fontId="42" fillId="2" borderId="33" xfId="0" applyNumberFormat="1" applyFont="1" applyFill="1" applyBorder="1" applyAlignment="1">
      <alignment horizontal="center" vertical="center" wrapText="1"/>
    </xf>
    <xf numFmtId="49" fontId="42" fillId="2" borderId="34" xfId="0" applyNumberFormat="1" applyFont="1" applyFill="1" applyBorder="1" applyAlignment="1">
      <alignment horizontal="center" vertical="center" wrapText="1"/>
    </xf>
    <xf numFmtId="49" fontId="42" fillId="2" borderId="35" xfId="0" applyNumberFormat="1" applyFont="1" applyFill="1" applyBorder="1" applyAlignment="1">
      <alignment horizontal="center" vertical="center" wrapText="1"/>
    </xf>
    <xf numFmtId="49" fontId="44" fillId="2" borderId="32" xfId="0" applyNumberFormat="1" applyFont="1" applyFill="1" applyBorder="1" applyAlignment="1">
      <alignment horizontal="center" vertical="top" wrapText="1"/>
    </xf>
    <xf numFmtId="49" fontId="44" fillId="2" borderId="35" xfId="0" applyNumberFormat="1" applyFont="1" applyFill="1" applyBorder="1" applyAlignment="1">
      <alignment horizontal="center" vertical="top" wrapText="1"/>
    </xf>
    <xf numFmtId="0" fontId="36" fillId="2" borderId="36" xfId="0" applyFont="1" applyFill="1" applyBorder="1"/>
    <xf numFmtId="0" fontId="41" fillId="2" borderId="31" xfId="0" applyFont="1" applyFill="1" applyBorder="1"/>
    <xf numFmtId="0" fontId="41" fillId="2" borderId="0" xfId="0" applyFont="1" applyFill="1" applyAlignment="1">
      <alignment wrapText="1"/>
    </xf>
    <xf numFmtId="0" fontId="36" fillId="2" borderId="8" xfId="0" applyFont="1" applyFill="1" applyBorder="1"/>
    <xf numFmtId="0" fontId="36" fillId="2" borderId="0" xfId="0" applyFont="1" applyFill="1" applyAlignment="1">
      <alignment vertical="center"/>
    </xf>
    <xf numFmtId="0" fontId="36" fillId="2" borderId="0" xfId="0" applyFont="1" applyFill="1"/>
    <xf numFmtId="10" fontId="41" fillId="2" borderId="32" xfId="0" applyNumberFormat="1" applyFont="1" applyFill="1" applyBorder="1" applyAlignment="1">
      <alignment vertical="center" wrapText="1"/>
    </xf>
    <xf numFmtId="10" fontId="41" fillId="2" borderId="32" xfId="8" applyNumberFormat="1" applyFont="1" applyFill="1" applyBorder="1" applyAlignment="1">
      <alignment vertical="center" wrapText="1"/>
    </xf>
    <xf numFmtId="10" fontId="36" fillId="2" borderId="15" xfId="7" applyNumberFormat="1" applyFont="1" applyFill="1" applyBorder="1" applyAlignment="1">
      <alignment vertical="center"/>
    </xf>
    <xf numFmtId="166" fontId="36" fillId="2" borderId="33" xfId="0" applyNumberFormat="1" applyFont="1" applyFill="1" applyBorder="1" applyAlignment="1">
      <alignment vertical="center" wrapText="1"/>
    </xf>
    <xf numFmtId="165" fontId="36" fillId="2" borderId="15" xfId="12" applyFont="1" applyFill="1" applyBorder="1" applyAlignment="1">
      <alignment vertical="center"/>
    </xf>
    <xf numFmtId="10" fontId="36" fillId="2" borderId="32" xfId="8" applyNumberFormat="1" applyFont="1" applyFill="1" applyBorder="1" applyAlignment="1">
      <alignment vertical="center" wrapText="1"/>
    </xf>
    <xf numFmtId="10" fontId="36" fillId="2" borderId="32" xfId="0" applyNumberFormat="1" applyFont="1" applyFill="1" applyBorder="1" applyAlignment="1">
      <alignment vertical="center" wrapText="1"/>
    </xf>
    <xf numFmtId="10" fontId="36" fillId="2" borderId="34" xfId="0" applyNumberFormat="1" applyFont="1" applyFill="1" applyBorder="1" applyAlignment="1">
      <alignment vertical="center" wrapText="1"/>
    </xf>
    <xf numFmtId="10" fontId="36" fillId="2" borderId="34" xfId="8" applyNumberFormat="1" applyFont="1" applyFill="1" applyBorder="1" applyAlignment="1">
      <alignment vertical="center" wrapText="1"/>
    </xf>
    <xf numFmtId="10" fontId="36" fillId="2" borderId="15" xfId="0" applyNumberFormat="1" applyFont="1" applyFill="1" applyBorder="1" applyAlignment="1">
      <alignment horizontal="right" vertical="center"/>
    </xf>
    <xf numFmtId="165" fontId="41" fillId="2" borderId="17" xfId="12" applyFont="1" applyFill="1" applyBorder="1" applyAlignment="1">
      <alignment vertical="center" wrapText="1"/>
    </xf>
    <xf numFmtId="4" fontId="36" fillId="2" borderId="15" xfId="0" applyNumberFormat="1" applyFont="1" applyFill="1" applyBorder="1" applyAlignment="1">
      <alignment horizontal="right" vertical="center"/>
    </xf>
    <xf numFmtId="0" fontId="41" fillId="2" borderId="29" xfId="0" applyFont="1" applyFill="1" applyBorder="1" applyAlignment="1">
      <alignment wrapText="1"/>
    </xf>
    <xf numFmtId="0" fontId="41" fillId="2" borderId="26" xfId="0" applyFont="1" applyFill="1" applyBorder="1" applyAlignment="1">
      <alignment wrapText="1"/>
    </xf>
    <xf numFmtId="0" fontId="36" fillId="2" borderId="26" xfId="0" applyFont="1" applyFill="1" applyBorder="1"/>
    <xf numFmtId="0" fontId="36" fillId="2" borderId="28" xfId="0" applyFont="1" applyFill="1" applyBorder="1"/>
    <xf numFmtId="0" fontId="41" fillId="2" borderId="31" xfId="0" applyFont="1" applyFill="1" applyBorder="1" applyAlignment="1">
      <alignment wrapText="1"/>
    </xf>
    <xf numFmtId="0" fontId="36" fillId="0" borderId="0" xfId="0" applyFont="1" applyAlignment="1">
      <alignment vertical="center"/>
    </xf>
    <xf numFmtId="0" fontId="41" fillId="2" borderId="0" xfId="0" applyFont="1" applyFill="1"/>
    <xf numFmtId="0" fontId="41" fillId="2" borderId="0" xfId="0" applyFont="1" applyFill="1" applyAlignment="1">
      <alignment horizontal="right"/>
    </xf>
    <xf numFmtId="0" fontId="36" fillId="2" borderId="14" xfId="0" applyFont="1" applyFill="1" applyBorder="1"/>
    <xf numFmtId="0" fontId="36" fillId="2" borderId="27" xfId="0" applyFont="1" applyFill="1" applyBorder="1"/>
    <xf numFmtId="0" fontId="36" fillId="2" borderId="31" xfId="6" applyFont="1" applyFill="1" applyBorder="1" applyAlignment="1">
      <alignment horizontal="left"/>
    </xf>
    <xf numFmtId="0" fontId="41" fillId="2" borderId="0" xfId="6" applyFont="1" applyFill="1"/>
    <xf numFmtId="0" fontId="41" fillId="2" borderId="0" xfId="6" applyFont="1" applyFill="1" applyAlignment="1">
      <alignment horizontal="center"/>
    </xf>
    <xf numFmtId="4" fontId="41" fillId="2" borderId="0" xfId="6" applyNumberFormat="1" applyFont="1" applyFill="1"/>
    <xf numFmtId="11" fontId="41" fillId="2" borderId="0" xfId="6" applyNumberFormat="1" applyFont="1" applyFill="1" applyAlignment="1">
      <alignment horizontal="center"/>
    </xf>
    <xf numFmtId="0" fontId="36" fillId="2" borderId="8" xfId="6" applyFont="1" applyFill="1" applyBorder="1" applyAlignment="1">
      <alignment horizontal="left"/>
    </xf>
    <xf numFmtId="0" fontId="41" fillId="2" borderId="14" xfId="6" applyFont="1" applyFill="1" applyBorder="1"/>
    <xf numFmtId="11" fontId="41" fillId="2" borderId="14" xfId="6" applyNumberFormat="1" applyFont="1" applyFill="1" applyBorder="1" applyAlignment="1">
      <alignment horizontal="center"/>
    </xf>
    <xf numFmtId="165" fontId="35" fillId="0" borderId="16" xfId="13" applyFont="1" applyBorder="1" applyAlignment="1">
      <alignment horizontal="center" vertical="center"/>
    </xf>
    <xf numFmtId="2" fontId="35" fillId="0" borderId="16" xfId="4" applyNumberFormat="1" applyFont="1" applyBorder="1" applyAlignment="1">
      <alignment horizontal="center" vertical="center"/>
    </xf>
    <xf numFmtId="0" fontId="35" fillId="0" borderId="31" xfId="4" applyFont="1" applyBorder="1"/>
    <xf numFmtId="165" fontId="35" fillId="0" borderId="36" xfId="10" applyFont="1" applyBorder="1"/>
    <xf numFmtId="0" fontId="35" fillId="0" borderId="8" xfId="4" applyFont="1" applyBorder="1"/>
    <xf numFmtId="0" fontId="35" fillId="0" borderId="14" xfId="4" applyFont="1" applyBorder="1" applyAlignment="1">
      <alignment horizontal="center"/>
    </xf>
    <xf numFmtId="0" fontId="45" fillId="0" borderId="14" xfId="4" applyFont="1" applyBorder="1" applyAlignment="1">
      <alignment horizontal="left"/>
    </xf>
    <xf numFmtId="0" fontId="45" fillId="0" borderId="14" xfId="4" applyFont="1" applyBorder="1" applyAlignment="1">
      <alignment horizontal="center"/>
    </xf>
    <xf numFmtId="165" fontId="35" fillId="0" borderId="14" xfId="10" applyFont="1" applyBorder="1" applyAlignment="1">
      <alignment horizontal="center"/>
    </xf>
    <xf numFmtId="165" fontId="35" fillId="0" borderId="27" xfId="10" applyFont="1" applyBorder="1"/>
    <xf numFmtId="0" fontId="41" fillId="0" borderId="14" xfId="0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2" borderId="14" xfId="0" applyFont="1" applyFill="1" applyBorder="1" applyAlignment="1">
      <alignment wrapText="1"/>
    </xf>
    <xf numFmtId="0" fontId="41" fillId="2" borderId="14" xfId="0" applyFont="1" applyFill="1" applyBorder="1"/>
    <xf numFmtId="0" fontId="46" fillId="0" borderId="14" xfId="0" applyFont="1" applyBorder="1"/>
    <xf numFmtId="0" fontId="41" fillId="7" borderId="18" xfId="0" applyFont="1" applyFill="1" applyBorder="1" applyAlignment="1">
      <alignment vertical="center"/>
    </xf>
    <xf numFmtId="166" fontId="41" fillId="7" borderId="1" xfId="0" applyNumberFormat="1" applyFont="1" applyFill="1" applyBorder="1" applyAlignment="1">
      <alignment horizontal="left" vertical="center"/>
    </xf>
    <xf numFmtId="0" fontId="36" fillId="7" borderId="0" xfId="0" applyFont="1" applyFill="1" applyAlignment="1">
      <alignment vertical="center"/>
    </xf>
    <xf numFmtId="0" fontId="41" fillId="7" borderId="16" xfId="0" applyFont="1" applyFill="1" applyBorder="1" applyAlignment="1">
      <alignment vertical="center"/>
    </xf>
    <xf numFmtId="0" fontId="48" fillId="6" borderId="0" xfId="4" applyFont="1" applyFill="1" applyAlignment="1" applyProtection="1">
      <alignment horizontal="left"/>
      <protection locked="0"/>
    </xf>
    <xf numFmtId="165" fontId="35" fillId="0" borderId="0" xfId="13" applyFont="1" applyFill="1" applyBorder="1" applyAlignment="1">
      <alignment horizontal="center" vertical="center"/>
    </xf>
    <xf numFmtId="0" fontId="40" fillId="0" borderId="31" xfId="4" applyFont="1" applyBorder="1" applyAlignment="1">
      <alignment vertical="center" wrapText="1"/>
    </xf>
    <xf numFmtId="4" fontId="36" fillId="0" borderId="36" xfId="5" applyNumberFormat="1" applyFont="1" applyBorder="1" applyAlignment="1">
      <alignment vertical="center" wrapText="1"/>
    </xf>
    <xf numFmtId="0" fontId="41" fillId="2" borderId="36" xfId="6" applyFont="1" applyFill="1" applyBorder="1"/>
    <xf numFmtId="0" fontId="41" fillId="2" borderId="27" xfId="6" applyFont="1" applyFill="1" applyBorder="1"/>
    <xf numFmtId="0" fontId="37" fillId="7" borderId="17" xfId="0" applyFont="1" applyFill="1" applyBorder="1" applyAlignment="1">
      <alignment vertical="center"/>
    </xf>
    <xf numFmtId="0" fontId="37" fillId="7" borderId="15" xfId="0" applyFont="1" applyFill="1" applyBorder="1" applyAlignment="1">
      <alignment vertical="center"/>
    </xf>
    <xf numFmtId="0" fontId="36" fillId="7" borderId="1" xfId="0" applyFont="1" applyFill="1" applyBorder="1"/>
    <xf numFmtId="0" fontId="46" fillId="7" borderId="1" xfId="0" applyFont="1" applyFill="1" applyBorder="1" applyAlignment="1">
      <alignment horizontal="left" vertical="center"/>
    </xf>
    <xf numFmtId="0" fontId="41" fillId="7" borderId="29" xfId="0" applyFont="1" applyFill="1" applyBorder="1" applyAlignment="1">
      <alignment vertical="center"/>
    </xf>
    <xf numFmtId="0" fontId="41" fillId="7" borderId="26" xfId="0" applyFont="1" applyFill="1" applyBorder="1" applyAlignment="1">
      <alignment vertical="center"/>
    </xf>
    <xf numFmtId="0" fontId="41" fillId="7" borderId="28" xfId="0" applyFont="1" applyFill="1" applyBorder="1" applyAlignment="1">
      <alignment vertical="center"/>
    </xf>
    <xf numFmtId="0" fontId="40" fillId="0" borderId="0" xfId="4" applyFont="1" applyAlignment="1">
      <alignment vertical="center" wrapText="1"/>
    </xf>
    <xf numFmtId="4" fontId="36" fillId="0" borderId="0" xfId="5" applyNumberFormat="1" applyFont="1" applyAlignment="1">
      <alignment vertical="center" wrapText="1"/>
    </xf>
    <xf numFmtId="43" fontId="8" fillId="0" borderId="16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7" fillId="0" borderId="36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8" fontId="6" fillId="0" borderId="36" xfId="0" applyNumberFormat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65" fontId="6" fillId="0" borderId="36" xfId="12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7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165" fontId="6" fillId="0" borderId="27" xfId="12" applyFont="1" applyBorder="1" applyAlignment="1">
      <alignment vertical="center"/>
    </xf>
    <xf numFmtId="0" fontId="46" fillId="2" borderId="0" xfId="6" applyFont="1" applyFill="1"/>
    <xf numFmtId="11" fontId="46" fillId="2" borderId="0" xfId="6" applyNumberFormat="1" applyFont="1" applyFill="1"/>
    <xf numFmtId="11" fontId="46" fillId="2" borderId="14" xfId="6" applyNumberFormat="1" applyFont="1" applyFill="1" applyBorder="1" applyAlignment="1" applyProtection="1">
      <alignment vertical="center"/>
      <protection locked="0"/>
    </xf>
    <xf numFmtId="0" fontId="45" fillId="0" borderId="26" xfId="0" applyFont="1" applyBorder="1" applyAlignment="1">
      <alignment vertical="center"/>
    </xf>
    <xf numFmtId="165" fontId="8" fillId="0" borderId="0" xfId="12" applyFont="1" applyBorder="1" applyAlignment="1">
      <alignment horizontal="left" vertical="center"/>
    </xf>
    <xf numFmtId="0" fontId="35" fillId="0" borderId="31" xfId="4" applyFont="1" applyBorder="1" applyAlignment="1">
      <alignment horizontal="center" vertical="center"/>
    </xf>
    <xf numFmtId="0" fontId="35" fillId="0" borderId="0" xfId="4" applyFont="1" applyAlignment="1">
      <alignment horizontal="left" vertical="center" wrapText="1"/>
    </xf>
    <xf numFmtId="165" fontId="35" fillId="0" borderId="0" xfId="12" applyFont="1" applyFill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165" fontId="42" fillId="0" borderId="36" xfId="11" applyFont="1" applyFill="1" applyBorder="1" applyAlignment="1">
      <alignment vertical="center"/>
    </xf>
    <xf numFmtId="0" fontId="2" fillId="0" borderId="15" xfId="0" applyFont="1" applyBorder="1"/>
    <xf numFmtId="43" fontId="8" fillId="0" borderId="15" xfId="0" applyNumberFormat="1" applyFont="1" applyBorder="1"/>
    <xf numFmtId="0" fontId="2" fillId="0" borderId="15" xfId="0" applyFont="1" applyBorder="1" applyAlignment="1">
      <alignment vertical="center" wrapText="1"/>
    </xf>
    <xf numFmtId="173" fontId="2" fillId="0" borderId="0" xfId="0" applyNumberFormat="1" applyFont="1" applyAlignment="1">
      <alignment vertical="center"/>
    </xf>
    <xf numFmtId="165" fontId="8" fillId="0" borderId="0" xfId="12" applyFont="1" applyBorder="1" applyAlignment="1">
      <alignment vertical="center"/>
    </xf>
    <xf numFmtId="43" fontId="8" fillId="0" borderId="15" xfId="0" applyNumberFormat="1" applyFont="1" applyBorder="1" applyAlignment="1">
      <alignment vertical="center"/>
    </xf>
    <xf numFmtId="165" fontId="35" fillId="0" borderId="1" xfId="12" applyFont="1" applyFill="1" applyBorder="1" applyAlignment="1">
      <alignment horizontal="left" vertical="center"/>
    </xf>
    <xf numFmtId="165" fontId="8" fillId="0" borderId="29" xfId="12" applyFont="1" applyBorder="1" applyAlignment="1">
      <alignment vertical="center"/>
    </xf>
    <xf numFmtId="43" fontId="8" fillId="0" borderId="28" xfId="0" applyNumberFormat="1" applyFont="1" applyBorder="1"/>
    <xf numFmtId="165" fontId="8" fillId="0" borderId="31" xfId="12" applyFont="1" applyBorder="1" applyAlignment="1">
      <alignment vertical="center"/>
    </xf>
    <xf numFmtId="43" fontId="8" fillId="0" borderId="36" xfId="0" applyNumberFormat="1" applyFont="1" applyBorder="1"/>
    <xf numFmtId="10" fontId="8" fillId="0" borderId="31" xfId="7" applyNumberFormat="1" applyFont="1" applyBorder="1"/>
    <xf numFmtId="10" fontId="8" fillId="0" borderId="36" xfId="7" applyNumberFormat="1" applyFont="1" applyBorder="1"/>
    <xf numFmtId="0" fontId="8" fillId="0" borderId="8" xfId="0" applyFont="1" applyBorder="1"/>
    <xf numFmtId="10" fontId="8" fillId="0" borderId="27" xfId="0" applyNumberFormat="1" applyFont="1" applyBorder="1" applyAlignment="1">
      <alignment horizontal="center" vertical="center"/>
    </xf>
    <xf numFmtId="165" fontId="8" fillId="0" borderId="27" xfId="12" applyFont="1" applyBorder="1" applyAlignment="1">
      <alignment horizontal="center" vertical="center"/>
    </xf>
    <xf numFmtId="0" fontId="6" fillId="2" borderId="0" xfId="4" applyFont="1" applyFill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0" fontId="37" fillId="7" borderId="18" xfId="0" applyFont="1" applyFill="1" applyBorder="1" applyAlignment="1">
      <alignment horizontal="right" vertical="center"/>
    </xf>
    <xf numFmtId="0" fontId="37" fillId="7" borderId="1" xfId="0" applyFont="1" applyFill="1" applyBorder="1" applyAlignment="1">
      <alignment horizontal="right" vertical="center"/>
    </xf>
    <xf numFmtId="0" fontId="37" fillId="7" borderId="16" xfId="0" applyFont="1" applyFill="1" applyBorder="1" applyAlignment="1">
      <alignment horizontal="right" vertical="center"/>
    </xf>
    <xf numFmtId="0" fontId="6" fillId="2" borderId="0" xfId="4" applyFont="1" applyFill="1" applyAlignment="1">
      <alignment horizontal="left" vertical="top" wrapText="1"/>
    </xf>
    <xf numFmtId="0" fontId="44" fillId="0" borderId="26" xfId="0" applyFont="1" applyBorder="1" applyAlignment="1">
      <alignment horizontal="left" vertical="center"/>
    </xf>
    <xf numFmtId="0" fontId="43" fillId="0" borderId="14" xfId="0" applyFont="1" applyBorder="1" applyAlignment="1">
      <alignment horizontal="center" vertical="center"/>
    </xf>
    <xf numFmtId="0" fontId="43" fillId="0" borderId="14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37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" fontId="6" fillId="2" borderId="0" xfId="4" applyNumberFormat="1" applyFont="1" applyFill="1" applyAlignment="1">
      <alignment horizontal="center" vertical="top" wrapText="1"/>
    </xf>
    <xf numFmtId="0" fontId="37" fillId="7" borderId="18" xfId="0" applyFont="1" applyFill="1" applyBorder="1" applyAlignment="1">
      <alignment horizontal="left" vertical="center"/>
    </xf>
    <xf numFmtId="0" fontId="37" fillId="7" borderId="1" xfId="0" applyFont="1" applyFill="1" applyBorder="1" applyAlignment="1">
      <alignment horizontal="left" vertical="center"/>
    </xf>
    <xf numFmtId="0" fontId="38" fillId="7" borderId="18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7" borderId="18" xfId="0" applyFont="1" applyFill="1" applyBorder="1" applyAlignment="1">
      <alignment horizontal="center" vertical="center" wrapText="1"/>
    </xf>
    <xf numFmtId="0" fontId="37" fillId="7" borderId="16" xfId="0" applyFont="1" applyFill="1" applyBorder="1" applyAlignment="1">
      <alignment horizontal="center" vertical="center" wrapText="1"/>
    </xf>
    <xf numFmtId="0" fontId="43" fillId="7" borderId="18" xfId="0" applyFont="1" applyFill="1" applyBorder="1" applyAlignment="1">
      <alignment horizontal="center" vertical="center"/>
    </xf>
    <xf numFmtId="0" fontId="43" fillId="7" borderId="1" xfId="0" applyFont="1" applyFill="1" applyBorder="1" applyAlignment="1">
      <alignment horizontal="center" vertical="center"/>
    </xf>
    <xf numFmtId="0" fontId="43" fillId="7" borderId="16" xfId="0" applyFont="1" applyFill="1" applyBorder="1" applyAlignment="1">
      <alignment horizontal="center" vertical="center"/>
    </xf>
    <xf numFmtId="0" fontId="37" fillId="7" borderId="18" xfId="0" applyFont="1" applyFill="1" applyBorder="1" applyAlignment="1">
      <alignment horizontal="center" vertical="center"/>
    </xf>
    <xf numFmtId="0" fontId="37" fillId="7" borderId="16" xfId="0" applyFont="1" applyFill="1" applyBorder="1" applyAlignment="1">
      <alignment horizontal="center" vertical="center"/>
    </xf>
    <xf numFmtId="0" fontId="37" fillId="7" borderId="8" xfId="0" applyFont="1" applyFill="1" applyBorder="1" applyAlignment="1">
      <alignment horizontal="center" vertical="center"/>
    </xf>
    <xf numFmtId="0" fontId="37" fillId="7" borderId="14" xfId="0" applyFont="1" applyFill="1" applyBorder="1" applyAlignment="1">
      <alignment horizontal="center" vertical="center"/>
    </xf>
    <xf numFmtId="0" fontId="43" fillId="7" borderId="15" xfId="0" applyFont="1" applyFill="1" applyBorder="1" applyAlignment="1">
      <alignment horizontal="center" vertical="center"/>
    </xf>
    <xf numFmtId="0" fontId="37" fillId="7" borderId="8" xfId="0" applyFont="1" applyFill="1" applyBorder="1" applyAlignment="1">
      <alignment horizontal="left" vertical="center"/>
    </xf>
    <xf numFmtId="0" fontId="37" fillId="7" borderId="14" xfId="0" applyFont="1" applyFill="1" applyBorder="1" applyAlignment="1">
      <alignment horizontal="left" vertical="center"/>
    </xf>
    <xf numFmtId="0" fontId="37" fillId="7" borderId="27" xfId="0" applyFont="1" applyFill="1" applyBorder="1" applyAlignment="1">
      <alignment horizontal="left" vertical="center"/>
    </xf>
    <xf numFmtId="0" fontId="37" fillId="7" borderId="18" xfId="0" applyFont="1" applyFill="1" applyBorder="1" applyAlignment="1">
      <alignment horizontal="left" vertical="center" wrapText="1"/>
    </xf>
    <xf numFmtId="165" fontId="35" fillId="0" borderId="18" xfId="9" applyFont="1" applyFill="1" applyBorder="1" applyAlignment="1">
      <alignment horizontal="center" vertical="center" wrapText="1"/>
    </xf>
    <xf numFmtId="165" fontId="35" fillId="0" borderId="1" xfId="9" applyFont="1" applyFill="1" applyBorder="1" applyAlignment="1">
      <alignment horizontal="center" vertical="center" wrapText="1"/>
    </xf>
    <xf numFmtId="0" fontId="35" fillId="0" borderId="1" xfId="4" applyFont="1" applyBorder="1" applyAlignment="1">
      <alignment horizontal="right" vertical="center" wrapText="1"/>
    </xf>
    <xf numFmtId="165" fontId="35" fillId="0" borderId="8" xfId="9" applyFont="1" applyFill="1" applyBorder="1" applyAlignment="1">
      <alignment horizontal="center" vertical="center" wrapText="1"/>
    </xf>
    <xf numFmtId="165" fontId="35" fillId="0" borderId="14" xfId="9" applyFont="1" applyFill="1" applyBorder="1" applyAlignment="1">
      <alignment horizontal="center" vertical="center" wrapText="1"/>
    </xf>
    <xf numFmtId="165" fontId="35" fillId="0" borderId="15" xfId="13" applyFont="1" applyFill="1" applyBorder="1" applyAlignment="1">
      <alignment horizontal="center" vertical="center"/>
    </xf>
    <xf numFmtId="165" fontId="35" fillId="0" borderId="15" xfId="12" applyFont="1" applyFill="1" applyBorder="1" applyAlignment="1">
      <alignment horizontal="center" vertical="center"/>
    </xf>
    <xf numFmtId="0" fontId="35" fillId="0" borderId="15" xfId="4" applyFont="1" applyBorder="1" applyAlignment="1">
      <alignment horizontal="center" vertical="center" wrapText="1"/>
    </xf>
    <xf numFmtId="165" fontId="35" fillId="0" borderId="18" xfId="13" applyFont="1" applyFill="1" applyBorder="1" applyAlignment="1">
      <alignment horizontal="right" vertical="center"/>
    </xf>
    <xf numFmtId="165" fontId="35" fillId="0" borderId="1" xfId="13" applyFont="1" applyFill="1" applyBorder="1" applyAlignment="1">
      <alignment horizontal="right" vertical="center"/>
    </xf>
    <xf numFmtId="0" fontId="35" fillId="0" borderId="18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0" fontId="35" fillId="0" borderId="16" xfId="4" applyFont="1" applyBorder="1" applyAlignment="1">
      <alignment horizontal="center" vertical="center" wrapText="1"/>
    </xf>
    <xf numFmtId="0" fontId="35" fillId="0" borderId="18" xfId="4" applyFont="1" applyBorder="1" applyAlignment="1">
      <alignment horizontal="left" vertical="center" wrapText="1"/>
    </xf>
    <xf numFmtId="0" fontId="35" fillId="0" borderId="1" xfId="4" applyFont="1" applyBorder="1" applyAlignment="1">
      <alignment horizontal="left" vertical="center" wrapText="1"/>
    </xf>
    <xf numFmtId="0" fontId="35" fillId="0" borderId="16" xfId="4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4" fillId="0" borderId="18" xfId="4" applyBorder="1" applyAlignment="1">
      <alignment horizontal="center"/>
    </xf>
    <xf numFmtId="0" fontId="4" fillId="0" borderId="1" xfId="4" applyBorder="1" applyAlignment="1">
      <alignment horizontal="center"/>
    </xf>
    <xf numFmtId="0" fontId="4" fillId="0" borderId="16" xfId="4" applyBorder="1" applyAlignment="1">
      <alignment horizontal="center"/>
    </xf>
    <xf numFmtId="0" fontId="46" fillId="7" borderId="15" xfId="4" applyFont="1" applyFill="1" applyBorder="1" applyAlignment="1">
      <alignment horizontal="center" vertical="center"/>
    </xf>
    <xf numFmtId="0" fontId="41" fillId="7" borderId="15" xfId="4" applyFont="1" applyFill="1" applyBorder="1" applyAlignment="1">
      <alignment horizontal="left" vertical="center"/>
    </xf>
    <xf numFmtId="165" fontId="35" fillId="0" borderId="29" xfId="9" applyFont="1" applyFill="1" applyBorder="1" applyAlignment="1">
      <alignment horizontal="center" vertical="center" wrapText="1"/>
    </xf>
    <xf numFmtId="165" fontId="35" fillId="0" borderId="26" xfId="9" applyFont="1" applyFill="1" applyBorder="1" applyAlignment="1">
      <alignment horizontal="center" vertical="center" wrapText="1"/>
    </xf>
    <xf numFmtId="0" fontId="45" fillId="0" borderId="18" xfId="4" applyFont="1" applyBorder="1" applyAlignment="1">
      <alignment horizontal="center" vertical="center" wrapText="1"/>
    </xf>
    <xf numFmtId="0" fontId="45" fillId="0" borderId="1" xfId="4" applyFont="1" applyBorder="1" applyAlignment="1">
      <alignment horizontal="center" vertical="center" wrapText="1"/>
    </xf>
    <xf numFmtId="165" fontId="35" fillId="0" borderId="18" xfId="12" applyFont="1" applyFill="1" applyBorder="1" applyAlignment="1">
      <alignment horizontal="center" vertical="center" wrapText="1"/>
    </xf>
    <xf numFmtId="165" fontId="35" fillId="0" borderId="1" xfId="12" applyFont="1" applyFill="1" applyBorder="1" applyAlignment="1">
      <alignment horizontal="center" vertical="center" wrapText="1"/>
    </xf>
    <xf numFmtId="167" fontId="41" fillId="7" borderId="17" xfId="10" quotePrefix="1" applyNumberFormat="1" applyFont="1" applyFill="1" applyBorder="1" applyAlignment="1">
      <alignment horizontal="center" vertical="center" wrapText="1"/>
    </xf>
    <xf numFmtId="167" fontId="41" fillId="7" borderId="30" xfId="10" quotePrefix="1" applyNumberFormat="1" applyFont="1" applyFill="1" applyBorder="1" applyAlignment="1">
      <alignment horizontal="center" vertical="center" wrapText="1"/>
    </xf>
    <xf numFmtId="167" fontId="41" fillId="7" borderId="5" xfId="10" quotePrefix="1" applyNumberFormat="1" applyFont="1" applyFill="1" applyBorder="1" applyAlignment="1">
      <alignment horizontal="center" vertical="center" wrapText="1"/>
    </xf>
    <xf numFmtId="165" fontId="35" fillId="0" borderId="18" xfId="12" applyFont="1" applyBorder="1" applyAlignment="1">
      <alignment horizontal="center" vertical="center"/>
    </xf>
    <xf numFmtId="165" fontId="35" fillId="0" borderId="1" xfId="12" applyFont="1" applyBorder="1" applyAlignment="1">
      <alignment horizontal="center" vertical="center"/>
    </xf>
    <xf numFmtId="168" fontId="36" fillId="0" borderId="18" xfId="2" applyNumberFormat="1" applyFont="1" applyBorder="1" applyAlignment="1">
      <alignment horizontal="left" vertical="center"/>
    </xf>
    <xf numFmtId="168" fontId="36" fillId="0" borderId="16" xfId="2" applyNumberFormat="1" applyFont="1" applyBorder="1" applyAlignment="1">
      <alignment horizontal="left" vertical="center"/>
    </xf>
    <xf numFmtId="165" fontId="35" fillId="0" borderId="28" xfId="12" applyFont="1" applyBorder="1" applyAlignment="1">
      <alignment horizontal="center" vertical="center"/>
    </xf>
    <xf numFmtId="165" fontId="35" fillId="0" borderId="36" xfId="12" applyFont="1" applyBorder="1" applyAlignment="1">
      <alignment horizontal="center" vertical="center"/>
    </xf>
    <xf numFmtId="165" fontId="35" fillId="0" borderId="27" xfId="12" applyFont="1" applyBorder="1" applyAlignment="1">
      <alignment horizontal="center" vertical="center"/>
    </xf>
    <xf numFmtId="165" fontId="35" fillId="0" borderId="18" xfId="12" applyFont="1" applyFill="1" applyBorder="1" applyAlignment="1">
      <alignment horizontal="center" vertical="center"/>
    </xf>
    <xf numFmtId="165" fontId="35" fillId="0" borderId="1" xfId="12" applyFont="1" applyFill="1" applyBorder="1" applyAlignment="1">
      <alignment horizontal="center" vertical="center"/>
    </xf>
    <xf numFmtId="0" fontId="41" fillId="7" borderId="18" xfId="4" applyFont="1" applyFill="1" applyBorder="1" applyAlignment="1">
      <alignment horizontal="center" vertical="center"/>
    </xf>
    <xf numFmtId="0" fontId="41" fillId="7" borderId="1" xfId="4" applyFont="1" applyFill="1" applyBorder="1" applyAlignment="1">
      <alignment horizontal="center" vertical="center"/>
    </xf>
    <xf numFmtId="0" fontId="41" fillId="7" borderId="16" xfId="4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36" fillId="2" borderId="32" xfId="0" applyFont="1" applyFill="1" applyBorder="1" applyAlignment="1">
      <alignment vertical="center" wrapText="1"/>
    </xf>
    <xf numFmtId="0" fontId="36" fillId="2" borderId="33" xfId="0" applyFont="1" applyFill="1" applyBorder="1" applyAlignment="1">
      <alignment vertical="center" wrapText="1"/>
    </xf>
    <xf numFmtId="0" fontId="41" fillId="0" borderId="32" xfId="0" applyFont="1" applyBorder="1" applyAlignment="1">
      <alignment horizontal="left" vertical="center" wrapText="1"/>
    </xf>
    <xf numFmtId="0" fontId="41" fillId="0" borderId="33" xfId="0" applyFont="1" applyBorder="1" applyAlignment="1">
      <alignment horizontal="left" vertical="center" wrapText="1"/>
    </xf>
    <xf numFmtId="0" fontId="41" fillId="0" borderId="32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36" fillId="2" borderId="34" xfId="0" applyFont="1" applyFill="1" applyBorder="1" applyAlignment="1">
      <alignment vertical="center" wrapText="1"/>
    </xf>
    <xf numFmtId="0" fontId="36" fillId="2" borderId="35" xfId="0" applyFont="1" applyFill="1" applyBorder="1" applyAlignment="1">
      <alignment vertical="center" wrapText="1"/>
    </xf>
    <xf numFmtId="0" fontId="41" fillId="0" borderId="34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0" fontId="41" fillId="2" borderId="29" xfId="0" applyFont="1" applyFill="1" applyBorder="1" applyAlignment="1">
      <alignment horizontal="right" vertical="center" wrapText="1"/>
    </xf>
    <xf numFmtId="0" fontId="41" fillId="2" borderId="26" xfId="0" applyFont="1" applyFill="1" applyBorder="1" applyAlignment="1">
      <alignment horizontal="right" vertical="center" wrapText="1"/>
    </xf>
    <xf numFmtId="0" fontId="41" fillId="2" borderId="28" xfId="0" applyFont="1" applyFill="1" applyBorder="1" applyAlignment="1">
      <alignment horizontal="right" vertical="center" wrapText="1"/>
    </xf>
    <xf numFmtId="0" fontId="41" fillId="2" borderId="31" xfId="0" applyFont="1" applyFill="1" applyBorder="1" applyAlignment="1">
      <alignment horizontal="right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36" xfId="0" applyFont="1" applyFill="1" applyBorder="1" applyAlignment="1">
      <alignment horizontal="right" vertical="center" wrapText="1"/>
    </xf>
    <xf numFmtId="0" fontId="41" fillId="0" borderId="14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6" fillId="2" borderId="14" xfId="0" applyFont="1" applyFill="1" applyBorder="1" applyAlignment="1">
      <alignment horizontal="center" wrapText="1"/>
    </xf>
    <xf numFmtId="0" fontId="45" fillId="0" borderId="26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49" fontId="41" fillId="0" borderId="32" xfId="0" applyNumberFormat="1" applyFont="1" applyBorder="1" applyAlignment="1">
      <alignment horizontal="center" vertical="center" wrapText="1"/>
    </xf>
    <xf numFmtId="49" fontId="41" fillId="0" borderId="33" xfId="0" applyNumberFormat="1" applyFont="1" applyBorder="1" applyAlignment="1">
      <alignment horizontal="center" vertical="center" wrapText="1"/>
    </xf>
    <xf numFmtId="0" fontId="46" fillId="7" borderId="15" xfId="0" applyFont="1" applyFill="1" applyBorder="1" applyAlignment="1">
      <alignment horizontal="center" vertical="center"/>
    </xf>
    <xf numFmtId="0" fontId="41" fillId="7" borderId="18" xfId="0" applyFont="1" applyFill="1" applyBorder="1" applyAlignment="1">
      <alignment horizontal="left" vertical="center"/>
    </xf>
    <xf numFmtId="0" fontId="41" fillId="7" borderId="1" xfId="0" applyFont="1" applyFill="1" applyBorder="1" applyAlignment="1">
      <alignment horizontal="left" vertical="center"/>
    </xf>
    <xf numFmtId="0" fontId="41" fillId="7" borderId="16" xfId="0" applyFont="1" applyFill="1" applyBorder="1" applyAlignment="1">
      <alignment horizontal="left" vertical="center"/>
    </xf>
    <xf numFmtId="0" fontId="41" fillId="7" borderId="15" xfId="0" applyFont="1" applyFill="1" applyBorder="1" applyAlignment="1">
      <alignment horizontal="left" vertical="center"/>
    </xf>
    <xf numFmtId="0" fontId="41" fillId="7" borderId="29" xfId="0" applyFont="1" applyFill="1" applyBorder="1" applyAlignment="1">
      <alignment horizontal="left" vertical="center"/>
    </xf>
    <xf numFmtId="0" fontId="41" fillId="7" borderId="26" xfId="0" applyFont="1" applyFill="1" applyBorder="1" applyAlignment="1">
      <alignment horizontal="left" vertical="center"/>
    </xf>
    <xf numFmtId="0" fontId="41" fillId="7" borderId="28" xfId="0" applyFont="1" applyFill="1" applyBorder="1" applyAlignment="1">
      <alignment horizontal="left" vertical="center"/>
    </xf>
    <xf numFmtId="0" fontId="41" fillId="7" borderId="26" xfId="0" applyFont="1" applyFill="1" applyBorder="1" applyAlignment="1">
      <alignment horizontal="left" vertical="center" wrapText="1"/>
    </xf>
    <xf numFmtId="0" fontId="6" fillId="2" borderId="18" xfId="5" applyFont="1" applyFill="1" applyBorder="1" applyAlignment="1">
      <alignment vertical="center"/>
    </xf>
    <xf numFmtId="0" fontId="6" fillId="2" borderId="1" xfId="5" applyFont="1" applyFill="1" applyBorder="1" applyAlignment="1">
      <alignment vertical="center"/>
    </xf>
    <xf numFmtId="0" fontId="6" fillId="2" borderId="16" xfId="5" applyFont="1" applyFill="1" applyBorder="1" applyAlignment="1">
      <alignment vertical="center"/>
    </xf>
    <xf numFmtId="0" fontId="43" fillId="7" borderId="18" xfId="4" applyFont="1" applyFill="1" applyBorder="1" applyAlignment="1">
      <alignment horizontal="center" vertical="center"/>
    </xf>
    <xf numFmtId="0" fontId="43" fillId="7" borderId="1" xfId="4" applyFont="1" applyFill="1" applyBorder="1" applyAlignment="1">
      <alignment horizontal="center" vertical="center"/>
    </xf>
    <xf numFmtId="0" fontId="43" fillId="7" borderId="16" xfId="4" applyFont="1" applyFill="1" applyBorder="1" applyAlignment="1">
      <alignment horizontal="center" vertical="center"/>
    </xf>
    <xf numFmtId="0" fontId="40" fillId="0" borderId="29" xfId="4" applyFont="1" applyBorder="1" applyAlignment="1">
      <alignment horizontal="center" vertical="center" wrapText="1"/>
    </xf>
    <xf numFmtId="0" fontId="40" fillId="0" borderId="26" xfId="4" applyFont="1" applyBorder="1" applyAlignment="1">
      <alignment horizontal="center" vertical="center" wrapText="1"/>
    </xf>
    <xf numFmtId="0" fontId="40" fillId="0" borderId="28" xfId="4" applyFont="1" applyBorder="1" applyAlignment="1">
      <alignment horizontal="center" vertical="center" wrapText="1"/>
    </xf>
    <xf numFmtId="0" fontId="40" fillId="0" borderId="31" xfId="4" applyFont="1" applyBorder="1" applyAlignment="1">
      <alignment horizontal="center" vertical="center" wrapText="1"/>
    </xf>
    <xf numFmtId="0" fontId="40" fillId="0" borderId="0" xfId="4" applyFont="1" applyAlignment="1">
      <alignment horizontal="center" vertical="center" wrapText="1"/>
    </xf>
    <xf numFmtId="0" fontId="40" fillId="0" borderId="36" xfId="4" applyFont="1" applyBorder="1" applyAlignment="1">
      <alignment horizontal="center" vertical="center" wrapText="1"/>
    </xf>
    <xf numFmtId="0" fontId="40" fillId="0" borderId="8" xfId="4" applyFont="1" applyBorder="1" applyAlignment="1">
      <alignment horizontal="center" vertical="center" wrapText="1"/>
    </xf>
    <xf numFmtId="0" fontId="40" fillId="0" borderId="14" xfId="4" applyFont="1" applyBorder="1" applyAlignment="1">
      <alignment horizontal="center" vertical="center" wrapText="1"/>
    </xf>
    <xf numFmtId="0" fontId="40" fillId="0" borderId="27" xfId="4" applyFont="1" applyBorder="1" applyAlignment="1">
      <alignment horizontal="center" vertical="center" wrapText="1"/>
    </xf>
    <xf numFmtId="14" fontId="37" fillId="7" borderId="17" xfId="4" applyNumberFormat="1" applyFont="1" applyFill="1" applyBorder="1" applyAlignment="1">
      <alignment horizontal="center" vertical="center"/>
    </xf>
    <xf numFmtId="14" fontId="37" fillId="7" borderId="5" xfId="4" applyNumberFormat="1" applyFont="1" applyFill="1" applyBorder="1" applyAlignment="1">
      <alignment horizontal="center" vertical="center"/>
    </xf>
    <xf numFmtId="0" fontId="41" fillId="7" borderId="18" xfId="6" applyFont="1" applyFill="1" applyBorder="1" applyAlignment="1">
      <alignment horizontal="left" vertical="center"/>
    </xf>
    <xf numFmtId="0" fontId="41" fillId="7" borderId="1" xfId="6" applyFont="1" applyFill="1" applyBorder="1" applyAlignment="1">
      <alignment horizontal="left" vertical="center"/>
    </xf>
    <xf numFmtId="0" fontId="41" fillId="7" borderId="16" xfId="6" applyFont="1" applyFill="1" applyBorder="1" applyAlignment="1">
      <alignment horizontal="left" vertical="center"/>
    </xf>
    <xf numFmtId="0" fontId="41" fillId="7" borderId="8" xfId="6" applyFont="1" applyFill="1" applyBorder="1" applyAlignment="1">
      <alignment horizontal="left" vertical="center"/>
    </xf>
    <xf numFmtId="0" fontId="41" fillId="7" borderId="14" xfId="6" applyFont="1" applyFill="1" applyBorder="1" applyAlignment="1">
      <alignment horizontal="left" vertical="center"/>
    </xf>
    <xf numFmtId="0" fontId="33" fillId="0" borderId="0" xfId="4" applyFont="1" applyAlignment="1">
      <alignment horizontal="left" vertical="center"/>
    </xf>
    <xf numFmtId="0" fontId="31" fillId="0" borderId="0" xfId="4" applyFont="1" applyAlignment="1">
      <alignment vertical="center" wrapText="1"/>
    </xf>
    <xf numFmtId="0" fontId="31" fillId="0" borderId="0" xfId="4" applyFont="1" applyAlignment="1">
      <alignment horizontal="center" vertical="center" wrapText="1"/>
    </xf>
    <xf numFmtId="0" fontId="15" fillId="0" borderId="0" xfId="4" applyFont="1" applyAlignment="1">
      <alignment horizontal="left" vertical="center" wrapText="1"/>
    </xf>
    <xf numFmtId="0" fontId="22" fillId="5" borderId="0" xfId="4" applyFont="1" applyFill="1" applyAlignment="1">
      <alignment horizontal="left" vertical="center" wrapText="1"/>
    </xf>
    <xf numFmtId="0" fontId="29" fillId="0" borderId="0" xfId="4" applyFont="1" applyAlignment="1">
      <alignment horizontal="left" vertical="center"/>
    </xf>
    <xf numFmtId="0" fontId="29" fillId="0" borderId="18" xfId="4" applyFont="1" applyBorder="1" applyAlignment="1">
      <alignment horizontal="left" vertical="center" wrapText="1"/>
    </xf>
    <xf numFmtId="0" fontId="29" fillId="0" borderId="1" xfId="4" applyFont="1" applyBorder="1" applyAlignment="1">
      <alignment horizontal="left" vertical="center" wrapText="1"/>
    </xf>
    <xf numFmtId="0" fontId="29" fillId="0" borderId="16" xfId="4" applyFont="1" applyBorder="1" applyAlignment="1">
      <alignment horizontal="left" vertical="center" wrapText="1"/>
    </xf>
    <xf numFmtId="0" fontId="30" fillId="0" borderId="14" xfId="4" applyFont="1" applyBorder="1" applyAlignment="1">
      <alignment horizontal="center" vertical="center"/>
    </xf>
    <xf numFmtId="0" fontId="29" fillId="4" borderId="0" xfId="4" applyFont="1" applyFill="1" applyAlignment="1" applyProtection="1">
      <alignment horizontal="center" vertical="center"/>
      <protection locked="0"/>
    </xf>
    <xf numFmtId="0" fontId="21" fillId="4" borderId="0" xfId="4" applyFont="1" applyFill="1" applyAlignment="1" applyProtection="1">
      <alignment horizontal="center" vertical="center"/>
      <protection locked="0"/>
    </xf>
    <xf numFmtId="0" fontId="13" fillId="6" borderId="1" xfId="4" applyFont="1" applyFill="1" applyBorder="1" applyAlignment="1" applyProtection="1">
      <alignment horizontal="left" vertical="center" wrapText="1"/>
      <protection locked="0"/>
    </xf>
    <xf numFmtId="9" fontId="13" fillId="6" borderId="1" xfId="4" applyNumberFormat="1" applyFont="1" applyFill="1" applyBorder="1" applyAlignment="1" applyProtection="1">
      <alignment horizontal="left" vertical="center" wrapText="1"/>
      <protection locked="0"/>
    </xf>
    <xf numFmtId="0" fontId="13" fillId="3" borderId="19" xfId="4" applyFont="1" applyFill="1" applyBorder="1" applyAlignment="1">
      <alignment horizontal="center" vertical="center" wrapText="1"/>
    </xf>
    <xf numFmtId="0" fontId="13" fillId="3" borderId="20" xfId="4" applyFont="1" applyFill="1" applyBorder="1" applyAlignment="1">
      <alignment horizontal="center" vertical="center" wrapText="1"/>
    </xf>
    <xf numFmtId="0" fontId="13" fillId="3" borderId="21" xfId="4" applyFont="1" applyFill="1" applyBorder="1" applyAlignment="1">
      <alignment horizontal="center" vertical="center" wrapText="1"/>
    </xf>
    <xf numFmtId="0" fontId="13" fillId="3" borderId="22" xfId="4" applyFont="1" applyFill="1" applyBorder="1" applyAlignment="1">
      <alignment horizontal="center" vertical="center" wrapText="1"/>
    </xf>
    <xf numFmtId="0" fontId="13" fillId="3" borderId="23" xfId="4" applyFont="1" applyFill="1" applyBorder="1" applyAlignment="1">
      <alignment horizontal="center" vertical="center" wrapText="1"/>
    </xf>
    <xf numFmtId="0" fontId="20" fillId="3" borderId="24" xfId="4" applyFont="1" applyFill="1" applyBorder="1" applyAlignment="1">
      <alignment horizontal="center" vertical="center" wrapText="1"/>
    </xf>
    <xf numFmtId="0" fontId="20" fillId="3" borderId="12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 wrapText="1"/>
    </xf>
    <xf numFmtId="0" fontId="15" fillId="6" borderId="1" xfId="4" applyFont="1" applyFill="1" applyBorder="1" applyAlignment="1" applyProtection="1">
      <alignment horizontal="left" vertical="center" wrapText="1"/>
      <protection locked="0"/>
    </xf>
    <xf numFmtId="0" fontId="4" fillId="0" borderId="15" xfId="4" applyBorder="1" applyAlignment="1">
      <alignment horizontal="center"/>
    </xf>
    <xf numFmtId="0" fontId="4" fillId="0" borderId="0" xfId="4" applyAlignment="1">
      <alignment horizontal="center" vertical="center" wrapText="1"/>
    </xf>
  </cellXfs>
  <cellStyles count="15">
    <cellStyle name="Hyperlink 2" xfId="1" xr:uid="{DD346C71-D12C-4EDC-83DB-CFD9A86E5C22}"/>
    <cellStyle name="Moeda" xfId="2" builtinId="4"/>
    <cellStyle name="Moeda 4" xfId="3" xr:uid="{6BEBA0F4-BAB4-458D-A328-BA480A2E4E38}"/>
    <cellStyle name="Normal" xfId="0" builtinId="0"/>
    <cellStyle name="Normal 2" xfId="4" xr:uid="{94847615-887F-49E1-A72F-864E6E56AF31}"/>
    <cellStyle name="Normal_MediçãoMataBurro" xfId="5" xr:uid="{344FA3EC-C148-4044-86E7-9B0373A9B984}"/>
    <cellStyle name="Normal_ORÇAMENTO PREFEITURA" xfId="6" xr:uid="{35A23352-C8DF-4804-933A-88EAB7968572}"/>
    <cellStyle name="Porcentagem" xfId="7" builtinId="5"/>
    <cellStyle name="Porcentagem 2" xfId="14" xr:uid="{39AB660F-D413-4A74-9480-940C50483E82}"/>
    <cellStyle name="Separador de milhares 2" xfId="8" xr:uid="{24DEFB51-9278-47F9-A903-4F0D567C506C}"/>
    <cellStyle name="Separador de milhares 2 2" xfId="9" xr:uid="{2CAAC24A-40C3-4FEE-8867-B99627B19D6B}"/>
    <cellStyle name="Separador de milhares 3" xfId="10" xr:uid="{C8F6E57A-C323-4453-8D8E-CB402C422E9E}"/>
    <cellStyle name="Separador de milhares 4" xfId="11" xr:uid="{CB354846-1873-4177-90A9-E6449D53E8D2}"/>
    <cellStyle name="Vírgula" xfId="12" builtinId="3"/>
    <cellStyle name="Vírgula 2" xfId="13" xr:uid="{558C21E1-D2D4-47CF-9B94-6F9BD1384D28}"/>
  </cellStyles>
  <dxfs count="2">
    <dxf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5" Type="http://schemas.openxmlformats.org/officeDocument/2006/relationships/image" Target="../media/image9.jpeg"/><Relationship Id="rId10" Type="http://schemas.openxmlformats.org/officeDocument/2006/relationships/image" Target="../media/image14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91440</xdr:rowOff>
    </xdr:from>
    <xdr:to>
      <xdr:col>9</xdr:col>
      <xdr:colOff>455369</xdr:colOff>
      <xdr:row>1</xdr:row>
      <xdr:rowOff>3812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476500" y="91440"/>
          <a:ext cx="855542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259080</xdr:colOff>
      <xdr:row>0</xdr:row>
      <xdr:rowOff>68580</xdr:rowOff>
    </xdr:from>
    <xdr:to>
      <xdr:col>1</xdr:col>
      <xdr:colOff>630555</xdr:colOff>
      <xdr:row>0</xdr:row>
      <xdr:rowOff>662940</xdr:rowOff>
    </xdr:to>
    <xdr:pic>
      <xdr:nvPicPr>
        <xdr:cNvPr id="8961" name="Imagem 2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6858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742949</xdr:colOff>
      <xdr:row>0</xdr:row>
      <xdr:rowOff>64768</xdr:rowOff>
    </xdr:from>
    <xdr:to>
      <xdr:col>4</xdr:col>
      <xdr:colOff>786838</xdr:colOff>
      <xdr:row>0</xdr:row>
      <xdr:rowOff>670560</xdr:rowOff>
    </xdr:to>
    <xdr:sp macro="" textlink="">
      <xdr:nvSpPr>
        <xdr:cNvPr id="4097" name="Text Box 6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2122169" y="64768"/>
          <a:ext cx="819728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266700</xdr:colOff>
      <xdr:row>0</xdr:row>
      <xdr:rowOff>53340</xdr:rowOff>
    </xdr:from>
    <xdr:to>
      <xdr:col>1</xdr:col>
      <xdr:colOff>647700</xdr:colOff>
      <xdr:row>0</xdr:row>
      <xdr:rowOff>666750</xdr:rowOff>
    </xdr:to>
    <xdr:pic>
      <xdr:nvPicPr>
        <xdr:cNvPr id="24693" name="Imagem 2">
          <a:extLst>
            <a:ext uri="{FF2B5EF4-FFF2-40B4-BE49-F238E27FC236}">
              <a16:creationId xmlns:a16="http://schemas.microsoft.com/office/drawing/2014/main" id="{00000000-0008-0000-0100-00007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5334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95250</xdr:rowOff>
    </xdr:from>
    <xdr:to>
      <xdr:col>12</xdr:col>
      <xdr:colOff>243840</xdr:colOff>
      <xdr:row>38</xdr:row>
      <xdr:rowOff>87630</xdr:rowOff>
    </xdr:to>
    <xdr:pic>
      <xdr:nvPicPr>
        <xdr:cNvPr id="24694" name="Imagem 2">
          <a:extLst>
            <a:ext uri="{FF2B5EF4-FFF2-40B4-BE49-F238E27FC236}">
              <a16:creationId xmlns:a16="http://schemas.microsoft.com/office/drawing/2014/main" id="{00000000-0008-0000-0100-000076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0" y="5495925"/>
          <a:ext cx="2476500" cy="2396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30480</xdr:colOff>
      <xdr:row>10</xdr:row>
      <xdr:rowOff>0</xdr:rowOff>
    </xdr:from>
    <xdr:to>
      <xdr:col>13</xdr:col>
      <xdr:colOff>266700</xdr:colOff>
      <xdr:row>16</xdr:row>
      <xdr:rowOff>129540</xdr:rowOff>
    </xdr:to>
    <xdr:pic>
      <xdr:nvPicPr>
        <xdr:cNvPr id="24695" name="Imagem 2">
          <a:extLst>
            <a:ext uri="{FF2B5EF4-FFF2-40B4-BE49-F238E27FC236}">
              <a16:creationId xmlns:a16="http://schemas.microsoft.com/office/drawing/2014/main" id="{00000000-0008-0000-0100-000077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7700" y="2339340"/>
          <a:ext cx="348996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784860</xdr:colOff>
      <xdr:row>1</xdr:row>
      <xdr:rowOff>106680</xdr:rowOff>
    </xdr:from>
    <xdr:to>
      <xdr:col>8</xdr:col>
      <xdr:colOff>386789</xdr:colOff>
      <xdr:row>2</xdr:row>
      <xdr:rowOff>19052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17420" y="274320"/>
          <a:ext cx="816680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99060</xdr:colOff>
      <xdr:row>1</xdr:row>
      <xdr:rowOff>45720</xdr:rowOff>
    </xdr:from>
    <xdr:to>
      <xdr:col>1</xdr:col>
      <xdr:colOff>480060</xdr:colOff>
      <xdr:row>1</xdr:row>
      <xdr:rowOff>647700</xdr:rowOff>
    </xdr:to>
    <xdr:pic>
      <xdr:nvPicPr>
        <xdr:cNvPr id="26818" name="Imagem 2">
          <a:extLst>
            <a:ext uri="{FF2B5EF4-FFF2-40B4-BE49-F238E27FC236}">
              <a16:creationId xmlns:a16="http://schemas.microsoft.com/office/drawing/2014/main" id="{00000000-0008-0000-0200-0000C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2133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784860</xdr:colOff>
      <xdr:row>1</xdr:row>
      <xdr:rowOff>106680</xdr:rowOff>
    </xdr:from>
    <xdr:to>
      <xdr:col>8</xdr:col>
      <xdr:colOff>386789</xdr:colOff>
      <xdr:row>2</xdr:row>
      <xdr:rowOff>19052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217420" y="274320"/>
          <a:ext cx="745052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99060</xdr:colOff>
      <xdr:row>1</xdr:row>
      <xdr:rowOff>45720</xdr:rowOff>
    </xdr:from>
    <xdr:to>
      <xdr:col>1</xdr:col>
      <xdr:colOff>480060</xdr:colOff>
      <xdr:row>1</xdr:row>
      <xdr:rowOff>647700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2133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0</xdr:rowOff>
    </xdr:from>
    <xdr:to>
      <xdr:col>1</xdr:col>
      <xdr:colOff>182880</xdr:colOff>
      <xdr:row>0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 noChangeAspect="1"/>
        </xdr:cNvGrpSpPr>
      </xdr:nvGrpSpPr>
      <xdr:grpSpPr bwMode="auto">
        <a:xfrm>
          <a:off x="60960" y="0"/>
          <a:ext cx="1036320" cy="0"/>
          <a:chOff x="1728" y="1296"/>
          <a:chExt cx="720" cy="7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440"/>
            <a:ext cx="0" cy="4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296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728" y="1872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129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201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121920</xdr:colOff>
      <xdr:row>0</xdr:row>
      <xdr:rowOff>0</xdr:rowOff>
    </xdr:from>
    <xdr:to>
      <xdr:col>1</xdr:col>
      <xdr:colOff>198120</xdr:colOff>
      <xdr:row>0</xdr:row>
      <xdr:rowOff>0</xdr:rowOff>
    </xdr:to>
    <xdr:pic>
      <xdr:nvPicPr>
        <xdr:cNvPr id="8" name="Picture 8" descr="brasa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10210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1234441</xdr:colOff>
      <xdr:row>0</xdr:row>
      <xdr:rowOff>91440</xdr:rowOff>
    </xdr:from>
    <xdr:to>
      <xdr:col>8</xdr:col>
      <xdr:colOff>68581</xdr:colOff>
      <xdr:row>1</xdr:row>
      <xdr:rowOff>3812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889761" y="91440"/>
          <a:ext cx="5737860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182880</xdr:colOff>
      <xdr:row>0</xdr:row>
      <xdr:rowOff>60960</xdr:rowOff>
    </xdr:from>
    <xdr:to>
      <xdr:col>1</xdr:col>
      <xdr:colOff>563880</xdr:colOff>
      <xdr:row>0</xdr:row>
      <xdr:rowOff>662940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609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50</xdr:row>
          <xdr:rowOff>57150</xdr:rowOff>
        </xdr:from>
        <xdr:to>
          <xdr:col>1</xdr:col>
          <xdr:colOff>542925</xdr:colOff>
          <xdr:row>52</xdr:row>
          <xdr:rowOff>123825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4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Importar foto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408096</xdr:colOff>
      <xdr:row>4</xdr:row>
      <xdr:rowOff>34925</xdr:rowOff>
    </xdr:from>
    <xdr:to>
      <xdr:col>7</xdr:col>
      <xdr:colOff>552023</xdr:colOff>
      <xdr:row>18</xdr:row>
      <xdr:rowOff>136525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996" y="1244600"/>
          <a:ext cx="2972852" cy="2235200"/>
        </a:xfrm>
        <a:prstGeom prst="rect">
          <a:avLst/>
        </a:prstGeom>
      </xdr:spPr>
    </xdr:pic>
    <xdr:clientData/>
  </xdr:twoCellAnchor>
  <xdr:twoCellAnchor>
    <xdr:from>
      <xdr:col>0</xdr:col>
      <xdr:colOff>398571</xdr:colOff>
      <xdr:row>4</xdr:row>
      <xdr:rowOff>34925</xdr:rowOff>
    </xdr:from>
    <xdr:to>
      <xdr:col>3</xdr:col>
      <xdr:colOff>552023</xdr:colOff>
      <xdr:row>18</xdr:row>
      <xdr:rowOff>136525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71" y="1244600"/>
          <a:ext cx="2982377" cy="2235200"/>
        </a:xfrm>
        <a:prstGeom prst="rect">
          <a:avLst/>
        </a:prstGeom>
      </xdr:spPr>
    </xdr:pic>
    <xdr:clientData/>
  </xdr:twoCellAnchor>
  <xdr:twoCellAnchor>
    <xdr:from>
      <xdr:col>8</xdr:col>
      <xdr:colOff>417622</xdr:colOff>
      <xdr:row>4</xdr:row>
      <xdr:rowOff>34925</xdr:rowOff>
    </xdr:from>
    <xdr:to>
      <xdr:col>11</xdr:col>
      <xdr:colOff>561549</xdr:colOff>
      <xdr:row>18</xdr:row>
      <xdr:rowOff>136525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1422" y="1244600"/>
          <a:ext cx="2972852" cy="2235200"/>
        </a:xfrm>
        <a:prstGeom prst="rect">
          <a:avLst/>
        </a:prstGeom>
      </xdr:spPr>
    </xdr:pic>
    <xdr:clientData/>
  </xdr:twoCellAnchor>
  <xdr:twoCellAnchor>
    <xdr:from>
      <xdr:col>0</xdr:col>
      <xdr:colOff>398571</xdr:colOff>
      <xdr:row>19</xdr:row>
      <xdr:rowOff>34925</xdr:rowOff>
    </xdr:from>
    <xdr:to>
      <xdr:col>3</xdr:col>
      <xdr:colOff>552023</xdr:colOff>
      <xdr:row>33</xdr:row>
      <xdr:rowOff>136525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71" y="3530600"/>
          <a:ext cx="2982377" cy="2235200"/>
        </a:xfrm>
        <a:prstGeom prst="rect">
          <a:avLst/>
        </a:prstGeom>
      </xdr:spPr>
    </xdr:pic>
    <xdr:clientData/>
  </xdr:twoCellAnchor>
  <xdr:twoCellAnchor>
    <xdr:from>
      <xdr:col>4</xdr:col>
      <xdr:colOff>408096</xdr:colOff>
      <xdr:row>19</xdr:row>
      <xdr:rowOff>34925</xdr:rowOff>
    </xdr:from>
    <xdr:to>
      <xdr:col>7</xdr:col>
      <xdr:colOff>552023</xdr:colOff>
      <xdr:row>33</xdr:row>
      <xdr:rowOff>136525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996" y="3530600"/>
          <a:ext cx="2972852" cy="2235200"/>
        </a:xfrm>
        <a:prstGeom prst="rect">
          <a:avLst/>
        </a:prstGeom>
      </xdr:spPr>
    </xdr:pic>
    <xdr:clientData/>
  </xdr:twoCellAnchor>
  <xdr:twoCellAnchor>
    <xdr:from>
      <xdr:col>8</xdr:col>
      <xdr:colOff>417622</xdr:colOff>
      <xdr:row>19</xdr:row>
      <xdr:rowOff>34925</xdr:rowOff>
    </xdr:from>
    <xdr:to>
      <xdr:col>11</xdr:col>
      <xdr:colOff>561549</xdr:colOff>
      <xdr:row>33</xdr:row>
      <xdr:rowOff>136525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1422" y="3530600"/>
          <a:ext cx="2972852" cy="2235200"/>
        </a:xfrm>
        <a:prstGeom prst="rect">
          <a:avLst/>
        </a:prstGeom>
      </xdr:spPr>
    </xdr:pic>
    <xdr:clientData/>
  </xdr:twoCellAnchor>
  <xdr:twoCellAnchor>
    <xdr:from>
      <xdr:col>0</xdr:col>
      <xdr:colOff>396193</xdr:colOff>
      <xdr:row>34</xdr:row>
      <xdr:rowOff>25400</xdr:rowOff>
    </xdr:from>
    <xdr:to>
      <xdr:col>3</xdr:col>
      <xdr:colOff>548687</xdr:colOff>
      <xdr:row>48</xdr:row>
      <xdr:rowOff>127000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93" y="5816600"/>
          <a:ext cx="2987134" cy="2235200"/>
        </a:xfrm>
        <a:prstGeom prst="rect">
          <a:avLst/>
        </a:prstGeom>
      </xdr:spPr>
    </xdr:pic>
    <xdr:clientData/>
  </xdr:twoCellAnchor>
  <xdr:twoCellAnchor>
    <xdr:from>
      <xdr:col>4</xdr:col>
      <xdr:colOff>396193</xdr:colOff>
      <xdr:row>34</xdr:row>
      <xdr:rowOff>25400</xdr:rowOff>
    </xdr:from>
    <xdr:to>
      <xdr:col>7</xdr:col>
      <xdr:colOff>548687</xdr:colOff>
      <xdr:row>48</xdr:row>
      <xdr:rowOff>127000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5713" y="5816600"/>
          <a:ext cx="2987134" cy="2235200"/>
        </a:xfrm>
        <a:prstGeom prst="rect">
          <a:avLst/>
        </a:prstGeom>
      </xdr:spPr>
    </xdr:pic>
    <xdr:clientData/>
  </xdr:twoCellAnchor>
  <xdr:twoCellAnchor>
    <xdr:from>
      <xdr:col>8</xdr:col>
      <xdr:colOff>396193</xdr:colOff>
      <xdr:row>34</xdr:row>
      <xdr:rowOff>25400</xdr:rowOff>
    </xdr:from>
    <xdr:to>
      <xdr:col>11</xdr:col>
      <xdr:colOff>548687</xdr:colOff>
      <xdr:row>48</xdr:row>
      <xdr:rowOff>127000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5233" y="5816600"/>
          <a:ext cx="2987134" cy="2235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411480</xdr:colOff>
      <xdr:row>28</xdr:row>
      <xdr:rowOff>30480</xdr:rowOff>
    </xdr:from>
    <xdr:to>
      <xdr:col>3</xdr:col>
      <xdr:colOff>15240</xdr:colOff>
      <xdr:row>31</xdr:row>
      <xdr:rowOff>0</xdr:rowOff>
    </xdr:to>
    <xdr:pic>
      <xdr:nvPicPr>
        <xdr:cNvPr id="22033" name="Picture 3">
          <a:extLst>
            <a:ext uri="{FF2B5EF4-FFF2-40B4-BE49-F238E27FC236}">
              <a16:creationId xmlns:a16="http://schemas.microsoft.com/office/drawing/2014/main" id="{00000000-0008-0000-0500-0000115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8465820"/>
          <a:ext cx="414528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171450</xdr:colOff>
      <xdr:row>20</xdr:row>
      <xdr:rowOff>19050</xdr:rowOff>
    </xdr:from>
    <xdr:to>
      <xdr:col>14</xdr:col>
      <xdr:colOff>43766</xdr:colOff>
      <xdr:row>21</xdr:row>
      <xdr:rowOff>81672</xdr:rowOff>
    </xdr:to>
    <xdr:sp macro="" textlink="">
      <xdr:nvSpPr>
        <xdr:cNvPr id="3" name="AutoShape 2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7322820" y="5878830"/>
          <a:ext cx="5379671" cy="377363"/>
        </a:xfrm>
        <a:prstGeom prst="leftArrowCallout">
          <a:avLst>
            <a:gd name="adj1" fmla="val 25000"/>
            <a:gd name="adj2" fmla="val 25000"/>
            <a:gd name="adj3" fmla="val 205303"/>
            <a:gd name="adj4" fmla="val 66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OS PERCENTUAIS DE ISS FORAM CALCULADOS CONSIDERANDO QUE A MÃO-DE-OBRA CORRESPONDE A BASE DE CÁLCULO DO PREÇO TOTAL DA OBRA DECLARADO PELO TOMADOR.</a:t>
          </a:r>
        </a:p>
      </xdr:txBody>
    </xdr:sp>
    <xdr:clientData/>
  </xdr:twoCellAnchor>
  <xdr:twoCellAnchor>
    <xdr:from>
      <xdr:col>5</xdr:col>
      <xdr:colOff>28575</xdr:colOff>
      <xdr:row>22</xdr:row>
      <xdr:rowOff>123825</xdr:rowOff>
    </xdr:from>
    <xdr:to>
      <xdr:col>13</xdr:col>
      <xdr:colOff>60935</xdr:colOff>
      <xdr:row>23</xdr:row>
      <xdr:rowOff>50584</xdr:rowOff>
    </xdr:to>
    <xdr:sp macro="" textlink="">
      <xdr:nvSpPr>
        <xdr:cNvPr id="4" name="AutoShape 2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6930390" y="6800850"/>
          <a:ext cx="5265420" cy="381000"/>
        </a:xfrm>
        <a:prstGeom prst="leftArrowCallout">
          <a:avLst>
            <a:gd name="adj1" fmla="val 25000"/>
            <a:gd name="adj2" fmla="val 25000"/>
            <a:gd name="adj3" fmla="val 265686"/>
            <a:gd name="adj4" fmla="val 66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O VALOR DO BDI SÓ É CALCULADO APÓS O PREENCHIMENTO DE TODAS AS CÉLULAS EM AMARELO!</a:t>
          </a:r>
        </a:p>
      </xdr:txBody>
    </xdr:sp>
    <xdr:clientData/>
  </xdr:twoCellAnchor>
  <xdr:twoCellAnchor>
    <xdr:from>
      <xdr:col>0</xdr:col>
      <xdr:colOff>19050</xdr:colOff>
      <xdr:row>0</xdr:row>
      <xdr:rowOff>20955</xdr:rowOff>
    </xdr:from>
    <xdr:to>
      <xdr:col>4</xdr:col>
      <xdr:colOff>1242060</xdr:colOff>
      <xdr:row>0</xdr:row>
      <xdr:rowOff>670560</xdr:rowOff>
    </xdr:to>
    <xdr:sp macro="" textlink="">
      <xdr:nvSpPr>
        <xdr:cNvPr id="5" name="AutoShape 2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9050" y="20955"/>
          <a:ext cx="6823710" cy="649605"/>
        </a:xfrm>
        <a:prstGeom prst="roundRect">
          <a:avLst>
            <a:gd name="adj" fmla="val 16667"/>
          </a:avLst>
        </a:prstGeom>
        <a:solidFill>
          <a:srgbClr val="0000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FF9900"/>
              </a:solidFill>
              <a:latin typeface="Arial"/>
              <a:cs typeface="Arial"/>
            </a:rPr>
            <a:t>**********ALTERAR SOMENTE AS CÉLULAS AMARELAS***********</a:t>
          </a: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9900"/>
              </a:solidFill>
              <a:latin typeface="Arial"/>
              <a:cs typeface="Arial"/>
            </a:rPr>
            <a:t>(Atentar para as observações nos quadros na lateral direita!)</a:t>
          </a:r>
        </a:p>
      </xdr:txBody>
    </xdr:sp>
    <xdr:clientData/>
  </xdr:twoCellAnchor>
  <xdr:twoCellAnchor>
    <xdr:from>
      <xdr:col>7</xdr:col>
      <xdr:colOff>57150</xdr:colOff>
      <xdr:row>25</xdr:row>
      <xdr:rowOff>60960</xdr:rowOff>
    </xdr:from>
    <xdr:to>
      <xdr:col>13</xdr:col>
      <xdr:colOff>62877</xdr:colOff>
      <xdr:row>28</xdr:row>
      <xdr:rowOff>20513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/>
        </xdr:cNvSpPr>
      </xdr:nvSpPr>
      <xdr:spPr bwMode="auto">
        <a:xfrm>
          <a:off x="8385810" y="8012430"/>
          <a:ext cx="3813810" cy="468372"/>
        </a:xfrm>
        <a:prstGeom prst="borderCallout2">
          <a:avLst>
            <a:gd name="adj1" fmla="val 26088"/>
            <a:gd name="adj2" fmla="val -2046"/>
            <a:gd name="adj3" fmla="val 26088"/>
            <a:gd name="adj4" fmla="val -23019"/>
            <a:gd name="adj5" fmla="val -13042"/>
            <a:gd name="adj6" fmla="val -39898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SE O BDI CALCULADO ESTIVER NO INTERVALO DE LIMITES DO BDI ESTA CÉLULA INDICARÁ "OK", CASO CONTRÁRIO INDICARÁ "INADEQUADO" E OS COMPONENTES DO BDI DEVEM SER REDISTRIBUÍDOS ATÉ QUE TODAS OS LIMITANTES ACEITOS PELO TCU SEJAM ATENDIDOS!</a:t>
          </a:r>
        </a:p>
      </xdr:txBody>
    </xdr:sp>
    <xdr:clientData/>
  </xdr:twoCellAnchor>
  <xdr:twoCellAnchor>
    <xdr:from>
      <xdr:col>0</xdr:col>
      <xdr:colOff>0</xdr:colOff>
      <xdr:row>47</xdr:row>
      <xdr:rowOff>20955</xdr:rowOff>
    </xdr:from>
    <xdr:to>
      <xdr:col>4</xdr:col>
      <xdr:colOff>322492</xdr:colOff>
      <xdr:row>49</xdr:row>
      <xdr:rowOff>22461</xdr:rowOff>
    </xdr:to>
    <xdr:sp macro="" textlink="">
      <xdr:nvSpPr>
        <xdr:cNvPr id="7" name="AutoShape 3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0" y="12477750"/>
          <a:ext cx="6595229" cy="537106"/>
        </a:xfrm>
        <a:prstGeom prst="roundRect">
          <a:avLst>
            <a:gd name="adj" fmla="val 16667"/>
          </a:avLst>
        </a:prstGeom>
        <a:solidFill>
          <a:srgbClr val="0000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OBS:</a:t>
          </a:r>
        </a:p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(*) - PODE HAVER GARANTIA DESDE QUE PREVISTO NO EDITAL DA LICITAÇÃO E NO CONTRATO DE EXECUÇÃO.</a:t>
          </a:r>
        </a:p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(**) - PODEM SER ACEITOS OUTROS PERCENTUAIS DE ISS DESDE QUE DEVIDAMENTE EMBASADOS NA LEGISLAÇÃO MUNICIPAL.</a:t>
          </a:r>
        </a:p>
      </xdr:txBody>
    </xdr:sp>
    <xdr:clientData/>
  </xdr:twoCellAnchor>
  <xdr:twoCellAnchor>
    <xdr:from>
      <xdr:col>6</xdr:col>
      <xdr:colOff>91440</xdr:colOff>
      <xdr:row>12</xdr:row>
      <xdr:rowOff>89535</xdr:rowOff>
    </xdr:from>
    <xdr:to>
      <xdr:col>19</xdr:col>
      <xdr:colOff>110530</xdr:colOff>
      <xdr:row>19</xdr:row>
      <xdr:rowOff>30366</xdr:rowOff>
    </xdr:to>
    <xdr:sp macro="" textlink="">
      <xdr:nvSpPr>
        <xdr:cNvPr id="8" name="AutoShape 34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/>
        </xdr:cNvSpPr>
      </xdr:nvSpPr>
      <xdr:spPr bwMode="auto">
        <a:xfrm>
          <a:off x="7715250" y="4255770"/>
          <a:ext cx="8374387" cy="1535430"/>
        </a:xfrm>
        <a:prstGeom prst="borderCallout2">
          <a:avLst>
            <a:gd name="adj1" fmla="val 7546"/>
            <a:gd name="adj2" fmla="val -931"/>
            <a:gd name="adj3" fmla="val 7546"/>
            <a:gd name="adj4" fmla="val -4528"/>
            <a:gd name="adj5" fmla="val -52199"/>
            <a:gd name="adj6" fmla="val -8245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Foi publicada, em 19 de julho de 2013, a Lei n° 12.844/2013 que altera os artigos 7º, 8º, 9º e o Anexo I da Lei n° 12.546/2011 e o artigo 14, da Lei n° 11.774/2008, alterando os setores a serem beneficiados com o regime de desoneração da folha de pagamentos que substitui a contribuição previdenciária patronal de 20%, sobre o total da folha de pagamento pela contribuição previdenciária sobre a receita bruta.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Com essa alteração os setores a seguir ficam sujeitos ao recolhimento da contribuição previdenciária à alíquota de 2% sobre o valor da receita bruta.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=&gt;Construção Civil, enquadrados nos seguintes grupos da CNAE 2.0: 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- 412 – Construção de Edifícios;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- 432 – Instalações Elétricas, Hidráulicas e Outras Instalações em Construções;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- 433 – Obras de Acabamento;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- 439 – Outros Serviços Especializados para Construção (4391-6 – Obras de Fundações e 4399-1 – Serviços Especializados para Construção não especificados anteriormente).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=&gt;Construção de Obras de Infraestrutura, enquadrados nos seguintes grupos da CNAE 2.0: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- 421 – Construção de Rodovias, Ferrovias, Obras Urbanas e Obras-de-Arte Especiais;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- 422 – Obras de Infra-Estrutura para Energia Elétrica, Telecomunicações, Água, Esgoto e Transporte Por Dutos;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- 429 – Construção de Outras Obras de Infra-Estrutura;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- 431 – Demolição e Preparação do Terreno</a:t>
          </a:r>
        </a:p>
      </xdr:txBody>
    </xdr:sp>
    <xdr:clientData/>
  </xdr:twoCellAnchor>
  <xdr:twoCellAnchor>
    <xdr:from>
      <xdr:col>6</xdr:col>
      <xdr:colOff>121920</xdr:colOff>
      <xdr:row>0</xdr:row>
      <xdr:rowOff>28575</xdr:rowOff>
    </xdr:from>
    <xdr:to>
      <xdr:col>20</xdr:col>
      <xdr:colOff>47695</xdr:colOff>
      <xdr:row>12</xdr:row>
      <xdr:rowOff>49586</xdr:rowOff>
    </xdr:to>
    <xdr:sp macro="" textlink="">
      <xdr:nvSpPr>
        <xdr:cNvPr id="9" name="AutoShape 35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/>
        </xdr:cNvSpPr>
      </xdr:nvSpPr>
      <xdr:spPr bwMode="auto">
        <a:xfrm>
          <a:off x="7837170" y="95250"/>
          <a:ext cx="8667738" cy="4103363"/>
        </a:xfrm>
        <a:prstGeom prst="borderCallout2">
          <a:avLst>
            <a:gd name="adj1" fmla="val 3380"/>
            <a:gd name="adj2" fmla="val -907"/>
            <a:gd name="adj3" fmla="val 3380"/>
            <a:gd name="adj4" fmla="val -3514"/>
            <a:gd name="adj5" fmla="val 56056"/>
            <a:gd name="adj6" fmla="val -5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Edifícios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Rodovias e Ferrovias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e recuperação de: auto-estradas, rodovias e outras vias não-urbanas para passagem de veículos, vias férreas de superfície ou subterrâneas (inclusive para metropolitanos), pistas de aeroportos. Esta classe compreende também: a pavimentação de auto-estradas, rodovias e outras vias não-urbanas; construção de pontes, viadutos e túneis; a instalação de barreiras acústicas; a construção de praças de pedágio; a sinalização com pintura em rodovias e aeroportos; a instalação de placas de sinalização de tráfego e semelhantes, conforme classificação 4211-1 do CNAE 2.0. Também enquadram-se a construção, pavimentação e sinalização de vias urbanas, ruas e locais para estacionamento de veículos; a construção de praças e calçadas para pedestres; elevados, passarelas e ciclovias; metrô e VLT.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Redes de Abastecimento de Água, Coleta de Esgoto e Construções Correlatas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e Manutenção de Estações e Redes de Distribuição de Energia Elétrica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de usinas, estações e subestações hidrelétricas, eólicas, nucleares, termoelétricas; a construção de redes de transmissão e distribuição de energia elétrica, inclusive o serviço de eletrificação rural. Esta subclasse compreende também: a construção de redes de eletrificação para ferrovias e metropolitano, conforme classificação 4221-9/02 do CNAE 2.0. Compreende ainda: a manutenção de redes de distribuição de energia elétrica, quando executada por empresa não-produtora ou distribuidora de energia elétrica, conforme classificação 4221-9/03 do CNAE 2.0. Enquadram-se também obras de iluminação pública e a construção de barragens e represas para geração de energia elétrica.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Portuárias, Marítimas e Fluviais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as obras marítimas e fluviais, tais como, construção de instalações portuárias; construção de portos e marinas; construção de eclusas e canais de navegação (vias navegáveis); enrocamentos; obras de dragagem; aterro hidráulico; barragens, represas e diques, exceto para energia elétrica; a construção de emissários submarinos; a instalação de cabos submarinos, conforme classificação 4291-0 do CNAE 2.0. Enquadram-se também a construção de piers e outras obras com influência direta de cursos d’água.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eu%20Drive\3a.%20GEST&#195;O\8%20OBRAS\10%20RECURSO%20PR&#211;PRIO\145%20GABI&#195;O%20Ribeir&#227;o%20Escalvado%20TRECHO%202%20240626%20HUGO\MEDI&#199;&#213;ES\GABI&#195;O%20Ribeir&#227;o%20Escalvado%20TRECHO%202_MEDI&#199;&#213;ES.xls" TargetMode="External"/><Relationship Id="rId1" Type="http://schemas.openxmlformats.org/officeDocument/2006/relationships/externalLinkPath" Target="file:///G:\Meu%20Drive\3a.%20GEST&#195;O\8%20OBRAS\10%20RECURSO%20PR&#211;PRIO\145%20GABI&#195;O%20Ribeir&#227;o%20Escalvado%20TRECHO%202%20240626%20HUGO\MEDI&#199;&#213;ES\GABI&#195;O%20Ribeir&#227;o%20Escalvado%20TRECHO%202_MEDI&#199;&#213;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wilso/Desktop/1648828781-500076.xls" TargetMode="External"/><Relationship Id="rId1" Type="http://schemas.openxmlformats.org/officeDocument/2006/relationships/externalLinkPath" Target="/Users/wilso/Desktop/1648828781-50007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"/>
      <sheetName val="CRONOGRAMA"/>
      <sheetName val="FOTOS"/>
      <sheetName val="BDI"/>
      <sheetName val="Base dados - TCU 2622_2013"/>
      <sheetName val="BM 01"/>
      <sheetName val="BM 01 FOTOS"/>
    </sheetNames>
    <sheetDataSet>
      <sheetData sheetId="0"/>
      <sheetData sheetId="1"/>
      <sheetData sheetId="2"/>
      <sheetData sheetId="3"/>
      <sheetData sheetId="4">
        <row r="2">
          <cell r="A2" t="str">
            <v>SIM</v>
          </cell>
        </row>
        <row r="3">
          <cell r="A3" t="str">
            <v>NÃO</v>
          </cell>
        </row>
        <row r="7">
          <cell r="A7" t="str">
            <v>Construção de Edifícios e Reformas (Quadras, unidades habitacionais, escolas, restaurantes, etc)</v>
          </cell>
        </row>
        <row r="8">
          <cell r="A8" t="str">
            <v>Construção de Praças</v>
          </cell>
        </row>
        <row r="9">
          <cell r="A9" t="str">
            <v>Construção de Rodovias (Pavimentação Urbana)</v>
          </cell>
        </row>
        <row r="10">
          <cell r="A10" t="str">
            <v>Construção de Ferrovias</v>
          </cell>
        </row>
        <row r="11">
          <cell r="A11" t="str">
            <v>Construção de Redes de Abastecimento de Água, Coleta de Esgoto e Construções Correlatas</v>
          </cell>
        </row>
        <row r="12">
          <cell r="A12" t="str">
            <v>Construção e Manutenção de Estações e Redes de Distribuição de Energia Elétrica</v>
          </cell>
        </row>
        <row r="13">
          <cell r="A13" t="str">
            <v>Portuárias, Marítimas e Fluviais</v>
          </cell>
        </row>
        <row r="14">
          <cell r="A14" t="str">
            <v>Fornecimento de Materiais e Equipamentos</v>
          </cell>
        </row>
      </sheetData>
      <sheetData sheetId="5">
        <row r="2">
          <cell r="A2" t="str">
            <v>Empresa Contratada: CONSTRUTORA SANCARLOS LTDA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I sem justificativa"/>
      <sheetName val="Base dados - TCU 2622_2013"/>
    </sheetNames>
    <sheetDataSet>
      <sheetData sheetId="0"/>
      <sheetData sheetId="1">
        <row r="7">
          <cell r="A7" t="str">
            <v>Construção de Edifícios e Reformas (Quadras, unidades habitacionais, escolas, restaurantes, etc)</v>
          </cell>
          <cell r="B7">
            <v>3</v>
          </cell>
          <cell r="C7">
            <v>4</v>
          </cell>
          <cell r="D7">
            <v>5.5</v>
          </cell>
          <cell r="E7">
            <v>0.8</v>
          </cell>
          <cell r="F7">
            <v>0.8</v>
          </cell>
          <cell r="G7">
            <v>1</v>
          </cell>
          <cell r="H7">
            <v>0.97</v>
          </cell>
          <cell r="I7">
            <v>1.27</v>
          </cell>
          <cell r="J7">
            <v>1.27</v>
          </cell>
          <cell r="K7">
            <v>0.59</v>
          </cell>
          <cell r="L7">
            <v>1.23</v>
          </cell>
          <cell r="M7">
            <v>1.39</v>
          </cell>
          <cell r="N7">
            <v>6.16</v>
          </cell>
          <cell r="O7">
            <v>7.4</v>
          </cell>
          <cell r="P7">
            <v>8.9600000000000009</v>
          </cell>
          <cell r="Q7">
            <v>3</v>
          </cell>
          <cell r="R7">
            <v>0.65</v>
          </cell>
          <cell r="S7">
            <v>2</v>
          </cell>
          <cell r="T7">
            <v>3.5</v>
          </cell>
          <cell r="U7">
            <v>5</v>
          </cell>
          <cell r="V7">
            <v>2</v>
          </cell>
          <cell r="W7">
            <v>20.34</v>
          </cell>
          <cell r="X7">
            <v>22.12</v>
          </cell>
          <cell r="Y7">
            <v>25</v>
          </cell>
        </row>
        <row r="8">
          <cell r="A8" t="str">
            <v>Construção de Praças</v>
          </cell>
          <cell r="B8">
            <v>3.8</v>
          </cell>
          <cell r="C8">
            <v>4.01</v>
          </cell>
          <cell r="D8">
            <v>4.67</v>
          </cell>
          <cell r="E8">
            <v>0.32</v>
          </cell>
          <cell r="F8">
            <v>0.4</v>
          </cell>
          <cell r="G8">
            <v>0.74</v>
          </cell>
          <cell r="H8">
            <v>0.5</v>
          </cell>
          <cell r="I8">
            <v>0.56000000000000005</v>
          </cell>
          <cell r="J8">
            <v>0.97</v>
          </cell>
          <cell r="K8">
            <v>1.02</v>
          </cell>
          <cell r="L8">
            <v>1.1100000000000001</v>
          </cell>
          <cell r="M8">
            <v>1.21</v>
          </cell>
          <cell r="N8">
            <v>6.64</v>
          </cell>
          <cell r="O8">
            <v>7.3</v>
          </cell>
          <cell r="P8">
            <v>8.69</v>
          </cell>
          <cell r="Q8">
            <v>3</v>
          </cell>
          <cell r="R8">
            <v>0.65</v>
          </cell>
          <cell r="S8">
            <v>2</v>
          </cell>
          <cell r="T8">
            <v>3.5</v>
          </cell>
          <cell r="U8">
            <v>5</v>
          </cell>
          <cell r="V8">
            <v>2</v>
          </cell>
          <cell r="W8">
            <v>19.600000000000001</v>
          </cell>
          <cell r="X8">
            <v>20.97</v>
          </cell>
          <cell r="Y8">
            <v>24.23</v>
          </cell>
        </row>
        <row r="9">
          <cell r="A9" t="str">
            <v>Construção de Rodovias (Pavimentação Urbana)</v>
          </cell>
          <cell r="B9">
            <v>3.8</v>
          </cell>
          <cell r="C9">
            <v>4.01</v>
          </cell>
          <cell r="D9">
            <v>4.67</v>
          </cell>
          <cell r="E9">
            <v>0.32</v>
          </cell>
          <cell r="F9">
            <v>0.4</v>
          </cell>
          <cell r="G9">
            <v>0.74</v>
          </cell>
          <cell r="H9">
            <v>0.5</v>
          </cell>
          <cell r="I9">
            <v>0.56000000000000005</v>
          </cell>
          <cell r="J9">
            <v>0.97</v>
          </cell>
          <cell r="K9">
            <v>1.02</v>
          </cell>
          <cell r="L9">
            <v>1.1100000000000001</v>
          </cell>
          <cell r="M9">
            <v>1.21</v>
          </cell>
          <cell r="N9">
            <v>6.64</v>
          </cell>
          <cell r="O9">
            <v>7.3</v>
          </cell>
          <cell r="P9">
            <v>8.69</v>
          </cell>
          <cell r="Q9">
            <v>3</v>
          </cell>
          <cell r="R9">
            <v>0.65</v>
          </cell>
          <cell r="S9">
            <v>2</v>
          </cell>
          <cell r="T9">
            <v>3.5</v>
          </cell>
          <cell r="U9">
            <v>5</v>
          </cell>
          <cell r="V9">
            <v>2</v>
          </cell>
          <cell r="W9">
            <v>19.600000000000001</v>
          </cell>
          <cell r="X9">
            <v>20.97</v>
          </cell>
          <cell r="Y9">
            <v>24.23</v>
          </cell>
        </row>
        <row r="10">
          <cell r="A10" t="str">
            <v>Construção de Ferrovias</v>
          </cell>
          <cell r="B10">
            <v>3.8</v>
          </cell>
          <cell r="C10">
            <v>4.01</v>
          </cell>
          <cell r="D10">
            <v>4.67</v>
          </cell>
          <cell r="E10">
            <v>0.32</v>
          </cell>
          <cell r="F10">
            <v>0.4</v>
          </cell>
          <cell r="G10">
            <v>0.74</v>
          </cell>
          <cell r="H10">
            <v>0.5</v>
          </cell>
          <cell r="I10">
            <v>0.56000000000000005</v>
          </cell>
          <cell r="J10">
            <v>0.97</v>
          </cell>
          <cell r="K10">
            <v>1.02</v>
          </cell>
          <cell r="L10">
            <v>1.1100000000000001</v>
          </cell>
          <cell r="M10">
            <v>1.21</v>
          </cell>
          <cell r="N10">
            <v>6.64</v>
          </cell>
          <cell r="O10">
            <v>7.3</v>
          </cell>
          <cell r="P10">
            <v>8.69</v>
          </cell>
          <cell r="Q10">
            <v>3</v>
          </cell>
          <cell r="R10">
            <v>0.65</v>
          </cell>
          <cell r="S10">
            <v>2</v>
          </cell>
          <cell r="T10">
            <v>3.5</v>
          </cell>
          <cell r="U10">
            <v>5</v>
          </cell>
          <cell r="V10">
            <v>2</v>
          </cell>
          <cell r="W10">
            <v>19.600000000000001</v>
          </cell>
          <cell r="X10">
            <v>20.97</v>
          </cell>
          <cell r="Y10">
            <v>24.23</v>
          </cell>
        </row>
        <row r="11">
          <cell r="A11" t="str">
            <v>Construção de Redes de Abastecimento de Água, Coleta de Esgoto e Construções Correlatas</v>
          </cell>
          <cell r="B11">
            <v>3.43</v>
          </cell>
          <cell r="C11">
            <v>4.93</v>
          </cell>
          <cell r="D11">
            <v>6.71</v>
          </cell>
          <cell r="E11">
            <v>0.28000000000000003</v>
          </cell>
          <cell r="F11">
            <v>0.49</v>
          </cell>
          <cell r="G11">
            <v>0.75</v>
          </cell>
          <cell r="H11">
            <v>1</v>
          </cell>
          <cell r="I11">
            <v>1.39</v>
          </cell>
          <cell r="J11">
            <v>1.74</v>
          </cell>
          <cell r="K11">
            <v>0.94</v>
          </cell>
          <cell r="L11">
            <v>0.99</v>
          </cell>
          <cell r="M11">
            <v>1.17</v>
          </cell>
          <cell r="N11">
            <v>6.74</v>
          </cell>
          <cell r="O11">
            <v>8.0399999999999991</v>
          </cell>
          <cell r="P11">
            <v>9.4</v>
          </cell>
          <cell r="Q11">
            <v>3</v>
          </cell>
          <cell r="R11">
            <v>0.65</v>
          </cell>
          <cell r="S11">
            <v>2</v>
          </cell>
          <cell r="T11">
            <v>3.5</v>
          </cell>
          <cell r="U11">
            <v>5</v>
          </cell>
          <cell r="V11">
            <v>2</v>
          </cell>
          <cell r="W11">
            <v>20.76</v>
          </cell>
          <cell r="X11">
            <v>24.18</v>
          </cell>
          <cell r="Y11">
            <v>26.44</v>
          </cell>
        </row>
        <row r="12">
          <cell r="A12" t="str">
            <v>Construção e Manutenção de Estações e Redes de Distribuição de Energia Elétrica</v>
          </cell>
          <cell r="B12">
            <v>5.29</v>
          </cell>
          <cell r="C12">
            <v>5.92</v>
          </cell>
          <cell r="D12">
            <v>7.93</v>
          </cell>
          <cell r="E12">
            <v>0.25</v>
          </cell>
          <cell r="F12">
            <v>0.51</v>
          </cell>
          <cell r="G12">
            <v>0.56000000000000005</v>
          </cell>
          <cell r="H12">
            <v>1</v>
          </cell>
          <cell r="I12">
            <v>1.48</v>
          </cell>
          <cell r="J12">
            <v>1.97</v>
          </cell>
          <cell r="K12">
            <v>1.01</v>
          </cell>
          <cell r="L12">
            <v>1.07</v>
          </cell>
          <cell r="M12">
            <v>1.1100000000000001</v>
          </cell>
          <cell r="N12">
            <v>8</v>
          </cell>
          <cell r="O12">
            <v>8.31</v>
          </cell>
          <cell r="P12">
            <v>9.51</v>
          </cell>
          <cell r="Q12">
            <v>3</v>
          </cell>
          <cell r="R12">
            <v>0.65</v>
          </cell>
          <cell r="S12">
            <v>2</v>
          </cell>
          <cell r="T12">
            <v>3.5</v>
          </cell>
          <cell r="U12">
            <v>5</v>
          </cell>
          <cell r="V12">
            <v>2</v>
          </cell>
          <cell r="W12">
            <v>24</v>
          </cell>
          <cell r="X12">
            <v>25.84</v>
          </cell>
          <cell r="Y12">
            <v>27.86</v>
          </cell>
        </row>
        <row r="13">
          <cell r="A13" t="str">
            <v>Portuárias, Marítimas e Fluviais</v>
          </cell>
          <cell r="B13">
            <v>4</v>
          </cell>
          <cell r="C13">
            <v>5.52</v>
          </cell>
          <cell r="D13">
            <v>7.85</v>
          </cell>
          <cell r="E13">
            <v>0.81</v>
          </cell>
          <cell r="F13">
            <v>1.22</v>
          </cell>
          <cell r="G13">
            <v>1.99</v>
          </cell>
          <cell r="H13">
            <v>1.46</v>
          </cell>
          <cell r="I13">
            <v>2.3199999999999998</v>
          </cell>
          <cell r="J13">
            <v>3.16</v>
          </cell>
          <cell r="K13">
            <v>0.94</v>
          </cell>
          <cell r="L13">
            <v>1.02</v>
          </cell>
          <cell r="M13">
            <v>1.33</v>
          </cell>
          <cell r="N13">
            <v>7.14</v>
          </cell>
          <cell r="O13">
            <v>8.4</v>
          </cell>
          <cell r="P13">
            <v>10.43</v>
          </cell>
          <cell r="Q13">
            <v>3</v>
          </cell>
          <cell r="R13">
            <v>0.65</v>
          </cell>
          <cell r="S13">
            <v>2</v>
          </cell>
          <cell r="T13">
            <v>3.5</v>
          </cell>
          <cell r="U13">
            <v>5</v>
          </cell>
          <cell r="V13">
            <v>2</v>
          </cell>
          <cell r="W13">
            <v>22.8</v>
          </cell>
          <cell r="X13">
            <v>27.48</v>
          </cell>
          <cell r="Y13">
            <v>30.95</v>
          </cell>
        </row>
        <row r="14">
          <cell r="A14" t="str">
            <v>Fornecimento de Materiais e Equipamentos</v>
          </cell>
          <cell r="B14">
            <v>1.5</v>
          </cell>
          <cell r="C14">
            <v>3.45</v>
          </cell>
          <cell r="D14">
            <v>4.49</v>
          </cell>
          <cell r="E14">
            <v>0.3</v>
          </cell>
          <cell r="F14">
            <v>0.48</v>
          </cell>
          <cell r="G14">
            <v>0.82</v>
          </cell>
          <cell r="H14">
            <v>0.56000000000000005</v>
          </cell>
          <cell r="I14">
            <v>0.85</v>
          </cell>
          <cell r="J14">
            <v>0.89</v>
          </cell>
          <cell r="K14">
            <v>0.85</v>
          </cell>
          <cell r="L14">
            <v>0.85</v>
          </cell>
          <cell r="M14">
            <v>1.1100000000000001</v>
          </cell>
          <cell r="N14">
            <v>3.5</v>
          </cell>
          <cell r="O14">
            <v>5.1100000000000003</v>
          </cell>
          <cell r="P14">
            <v>6.22</v>
          </cell>
          <cell r="Q14">
            <v>3</v>
          </cell>
          <cell r="R14">
            <v>0.65</v>
          </cell>
          <cell r="S14">
            <v>2</v>
          </cell>
          <cell r="T14">
            <v>3.5</v>
          </cell>
          <cell r="U14">
            <v>5</v>
          </cell>
          <cell r="V14">
            <v>2</v>
          </cell>
          <cell r="W14">
            <v>11.1</v>
          </cell>
          <cell r="X14">
            <v>14.02</v>
          </cell>
          <cell r="Y14">
            <v>16.8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B7E1-C2A4-4B12-8D0A-F53860B10C5C}">
  <sheetPr codeName="Planilha3"/>
  <dimension ref="A1:R77"/>
  <sheetViews>
    <sheetView showZeros="0" view="pageBreakPreview" topLeftCell="D1" zoomScaleNormal="100" zoomScaleSheetLayoutView="100" workbookViewId="0">
      <pane ySplit="5" topLeftCell="A14" activePane="bottomLeft" state="frozen"/>
      <selection pane="bottomLeft" activeCell="J9" sqref="J9"/>
    </sheetView>
  </sheetViews>
  <sheetFormatPr defaultColWidth="11.42578125" defaultRowHeight="12.75" x14ac:dyDescent="0.2"/>
  <cols>
    <col min="1" max="1" width="6.5703125" style="8" customWidth="1"/>
    <col min="2" max="2" width="13.140625" style="8" customWidth="1"/>
    <col min="3" max="3" width="11.42578125" style="8" customWidth="1"/>
    <col min="4" max="4" width="58.5703125" style="8" customWidth="1"/>
    <col min="5" max="5" width="10.7109375" style="11" customWidth="1"/>
    <col min="6" max="6" width="9" style="11" customWidth="1"/>
    <col min="7" max="9" width="8.140625" style="11" customWidth="1"/>
    <col min="10" max="10" width="38.7109375" style="12" customWidth="1"/>
    <col min="11" max="11" width="7.140625" style="12" customWidth="1"/>
    <col min="12" max="12" width="10" style="13" customWidth="1"/>
    <col min="13" max="13" width="9.7109375" style="8" customWidth="1"/>
    <col min="14" max="14" width="8.42578125" style="8" customWidth="1"/>
    <col min="15" max="16384" width="11.42578125" style="8"/>
  </cols>
  <sheetData>
    <row r="1" spans="1:16" ht="54.6" customHeight="1" x14ac:dyDescent="0.2">
      <c r="A1" s="359"/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1"/>
      <c r="M1" s="9"/>
    </row>
    <row r="2" spans="1:16" s="10" customFormat="1" ht="13.9" customHeight="1" x14ac:dyDescent="0.2">
      <c r="A2" s="362" t="s">
        <v>26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70" t="str">
        <f>PLAN!H4</f>
        <v>DATA: 02/09/26</v>
      </c>
      <c r="M2" s="167"/>
      <c r="N2" s="167"/>
      <c r="O2" s="167"/>
      <c r="P2" s="167"/>
    </row>
    <row r="3" spans="1:16" s="10" customFormat="1" ht="13.9" customHeight="1" x14ac:dyDescent="0.2">
      <c r="A3" s="363" t="str">
        <f>PLAN!A4</f>
        <v>OBRA: SISTEMA DE REGISTRO DE PREÇOS P/ EXECUÇÃO DE SERVIÇOS DIVERSOS DE ENGENHARIA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71"/>
      <c r="M3" s="167"/>
      <c r="N3" s="167"/>
      <c r="O3" s="167"/>
      <c r="P3" s="167"/>
    </row>
    <row r="4" spans="1:16" s="10" customFormat="1" ht="13.9" customHeight="1" x14ac:dyDescent="0.2">
      <c r="A4" s="363" t="str">
        <f>PLAN!A5</f>
        <v>LOCAL: VIAS PÚBLICAS DIVERSAS DO MUNICÍPIO DE SANTA CRUZ DO ESCALVADO (MG)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72"/>
      <c r="M4" s="167"/>
      <c r="N4" s="167"/>
      <c r="O4" s="167"/>
      <c r="P4" s="167"/>
    </row>
    <row r="5" spans="1:16" s="10" customFormat="1" ht="13.9" customHeight="1" x14ac:dyDescent="0.2">
      <c r="A5" s="170" t="s">
        <v>0</v>
      </c>
      <c r="B5" s="382" t="s">
        <v>214</v>
      </c>
      <c r="C5" s="383"/>
      <c r="D5" s="383"/>
      <c r="E5" s="383"/>
      <c r="F5" s="383"/>
      <c r="G5" s="383"/>
      <c r="H5" s="383"/>
      <c r="I5" s="383"/>
      <c r="J5" s="384"/>
      <c r="K5" s="171" t="s">
        <v>13</v>
      </c>
      <c r="L5" s="171" t="s">
        <v>21</v>
      </c>
      <c r="M5" s="375">
        <f>PLAN!I7</f>
        <v>1777071.06</v>
      </c>
      <c r="N5" s="376"/>
      <c r="O5" s="167"/>
      <c r="P5" s="167"/>
    </row>
    <row r="6" spans="1:16" s="10" customFormat="1" ht="13.9" customHeight="1" x14ac:dyDescent="0.2">
      <c r="A6" s="147">
        <f>PLAN!A9</f>
        <v>1</v>
      </c>
      <c r="B6" s="355" t="str">
        <f>PLAN!C9</f>
        <v>ADMINISTRAÇÃO LOCAL</v>
      </c>
      <c r="C6" s="356"/>
      <c r="D6" s="357"/>
      <c r="E6" s="366"/>
      <c r="F6" s="367"/>
      <c r="G6" s="367"/>
      <c r="H6" s="367"/>
      <c r="I6" s="367"/>
      <c r="J6" s="148"/>
      <c r="K6" s="148"/>
      <c r="L6" s="149"/>
      <c r="M6" s="157"/>
      <c r="N6" s="176"/>
      <c r="O6" s="167"/>
      <c r="P6" s="167"/>
    </row>
    <row r="7" spans="1:16" s="10" customFormat="1" ht="13.9" customHeight="1" x14ac:dyDescent="0.2">
      <c r="A7" s="147" t="str">
        <f>PLAN!A10</f>
        <v xml:space="preserve"> 1.1 </v>
      </c>
      <c r="B7" s="355" t="str">
        <f>PLAN!C10</f>
        <v>ENCARREGADO GERAL DE OBRAS COM ENCARGOS COMPLEMENTARES</v>
      </c>
      <c r="C7" s="356"/>
      <c r="D7" s="357"/>
      <c r="E7" s="373" t="s">
        <v>63</v>
      </c>
      <c r="F7" s="374"/>
      <c r="G7" s="374"/>
      <c r="H7" s="374"/>
      <c r="I7" s="374"/>
      <c r="J7" s="150" t="s">
        <v>334</v>
      </c>
      <c r="K7" s="148" t="str">
        <f>PLAN!D10</f>
        <v>MÊS</v>
      </c>
      <c r="L7" s="151">
        <f>ROUND(M7*4*5*N7/220,2)</f>
        <v>4.3600000000000003</v>
      </c>
      <c r="M7" s="377">
        <v>12</v>
      </c>
      <c r="N7" s="152">
        <v>4</v>
      </c>
      <c r="O7" s="172">
        <f>PLAN!J12</f>
        <v>3.4531832396167653E-2</v>
      </c>
      <c r="P7" s="167"/>
    </row>
    <row r="8" spans="1:16" s="10" customFormat="1" ht="13.9" customHeight="1" x14ac:dyDescent="0.2">
      <c r="A8" s="147" t="str">
        <f>PLAN!A11</f>
        <v xml:space="preserve"> 1.2</v>
      </c>
      <c r="B8" s="355" t="str">
        <f>PLAN!C11</f>
        <v>TÉCNICO EM SEGURANÇA DO TRABALHO COM ENCARGOS COMPLEMENTARES</v>
      </c>
      <c r="C8" s="356"/>
      <c r="D8" s="357"/>
      <c r="E8" s="373" t="s">
        <v>63</v>
      </c>
      <c r="F8" s="374"/>
      <c r="G8" s="374"/>
      <c r="H8" s="374"/>
      <c r="I8" s="374"/>
      <c r="J8" s="150" t="s">
        <v>335</v>
      </c>
      <c r="K8" s="148" t="str">
        <f>PLAN!D11</f>
        <v>MÊS</v>
      </c>
      <c r="L8" s="151">
        <f>ROUND(M7*4*5*N8/220,2)</f>
        <v>0.11</v>
      </c>
      <c r="M8" s="378"/>
      <c r="N8" s="152">
        <v>0.1</v>
      </c>
      <c r="O8" s="167"/>
      <c r="P8" s="167"/>
    </row>
    <row r="9" spans="1:16" s="10" customFormat="1" ht="13.9" customHeight="1" x14ac:dyDescent="0.2">
      <c r="A9" s="147" t="str">
        <f>PLAN!A12</f>
        <v xml:space="preserve"> 1.3</v>
      </c>
      <c r="B9" s="355" t="str">
        <f>PLAN!C12</f>
        <v>ENGENHEIRO CIVIL DE OBRA PLENO COM ENCARGOS COMPLEMENTARES</v>
      </c>
      <c r="C9" s="356"/>
      <c r="D9" s="357"/>
      <c r="E9" s="373" t="s">
        <v>63</v>
      </c>
      <c r="F9" s="374"/>
      <c r="G9" s="374"/>
      <c r="H9" s="374"/>
      <c r="I9" s="374"/>
      <c r="J9" s="150" t="s">
        <v>336</v>
      </c>
      <c r="K9" s="148" t="str">
        <f>PLAN!D12</f>
        <v>MÊS</v>
      </c>
      <c r="L9" s="151">
        <f>ROUND(M7*4*5*N9/220,2)</f>
        <v>0.22</v>
      </c>
      <c r="M9" s="379"/>
      <c r="N9" s="152">
        <v>0.2</v>
      </c>
      <c r="O9" s="167"/>
      <c r="P9" s="167"/>
    </row>
    <row r="10" spans="1:16" s="10" customFormat="1" ht="13.9" customHeight="1" x14ac:dyDescent="0.2">
      <c r="A10" s="147">
        <f>PLAN!A13</f>
        <v>2</v>
      </c>
      <c r="B10" s="355" t="str">
        <f>PLAN!C13</f>
        <v>SERVIÇOS PRELIMINARES</v>
      </c>
      <c r="C10" s="356"/>
      <c r="D10" s="357"/>
      <c r="E10" s="366"/>
      <c r="F10" s="367"/>
      <c r="G10" s="367"/>
      <c r="H10" s="367"/>
      <c r="I10" s="367"/>
      <c r="J10" s="148"/>
      <c r="K10" s="148">
        <f>PLAN!D13</f>
        <v>0</v>
      </c>
      <c r="L10" s="149"/>
      <c r="M10" s="157"/>
      <c r="N10" s="176"/>
      <c r="O10" s="167"/>
      <c r="P10" s="167"/>
    </row>
    <row r="11" spans="1:16" s="10" customFormat="1" ht="34.15" customHeight="1" x14ac:dyDescent="0.2">
      <c r="A11" s="147" t="str">
        <f>PLAN!A14</f>
        <v>2.1</v>
      </c>
      <c r="B11" s="355" t="str">
        <f>PLAN!C14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1" s="356"/>
      <c r="D11" s="357"/>
      <c r="E11" s="352" t="s">
        <v>129</v>
      </c>
      <c r="F11" s="353"/>
      <c r="G11" s="353"/>
      <c r="H11" s="353"/>
      <c r="I11" s="353"/>
      <c r="J11" s="150" t="s">
        <v>135</v>
      </c>
      <c r="K11" s="148" t="str">
        <f>PLAN!D14</f>
        <v>M2</v>
      </c>
      <c r="L11" s="149">
        <f>1*2</f>
        <v>2</v>
      </c>
      <c r="M11" s="157"/>
      <c r="N11" s="176"/>
      <c r="O11" s="167"/>
      <c r="P11" s="167"/>
    </row>
    <row r="12" spans="1:16" s="10" customFormat="1" ht="13.9" customHeight="1" x14ac:dyDescent="0.2">
      <c r="A12" s="147" t="str">
        <f>PLAN!A15</f>
        <v>2.2</v>
      </c>
      <c r="B12" s="355" t="str">
        <f>PLAN!C15</f>
        <v>MOBILIZAÇÃO E DESMOBILIZAÇÃO OBRA DISTANTE DE CENTRO URBANO COM VALOR ATÉ 1.000.000,00</v>
      </c>
      <c r="C12" s="356"/>
      <c r="D12" s="357"/>
      <c r="E12" s="352" t="s">
        <v>148</v>
      </c>
      <c r="F12" s="353"/>
      <c r="G12" s="353"/>
      <c r="H12" s="353"/>
      <c r="I12" s="353"/>
      <c r="J12" s="150" t="s">
        <v>29</v>
      </c>
      <c r="K12" s="148" t="str">
        <f>PLAN!D15</f>
        <v>%</v>
      </c>
      <c r="L12" s="149">
        <f>PLAN!K15</f>
        <v>2</v>
      </c>
      <c r="M12" s="157"/>
      <c r="N12" s="176"/>
      <c r="O12" s="167"/>
      <c r="P12" s="167"/>
    </row>
    <row r="13" spans="1:16" s="10" customFormat="1" ht="13.9" customHeight="1" x14ac:dyDescent="0.2">
      <c r="A13" s="147">
        <f>PLAN!A16</f>
        <v>3</v>
      </c>
      <c r="B13" s="355" t="str">
        <f>PLAN!C16</f>
        <v>SERVIÇOS DIVERSOS</v>
      </c>
      <c r="C13" s="356"/>
      <c r="D13" s="357"/>
      <c r="E13" s="366"/>
      <c r="F13" s="367"/>
      <c r="G13" s="367"/>
      <c r="H13" s="367"/>
      <c r="I13" s="367"/>
      <c r="J13" s="150"/>
      <c r="K13" s="148">
        <f>PLAN!D16</f>
        <v>0</v>
      </c>
      <c r="L13" s="149"/>
      <c r="M13" s="157"/>
      <c r="N13" s="176"/>
      <c r="O13" s="167"/>
      <c r="P13" s="167"/>
    </row>
    <row r="14" spans="1:16" s="10" customFormat="1" ht="13.9" customHeight="1" x14ac:dyDescent="0.2">
      <c r="A14" s="147" t="str">
        <f>PLAN!A17</f>
        <v>3.1</v>
      </c>
      <c r="B14" s="355" t="str">
        <f>PLAN!C17</f>
        <v xml:space="preserve">DESLOCAMENTO E TRANSPORTE </v>
      </c>
      <c r="C14" s="356"/>
      <c r="D14" s="357"/>
      <c r="E14" s="366"/>
      <c r="F14" s="367"/>
      <c r="G14" s="367"/>
      <c r="H14" s="367"/>
      <c r="I14" s="367"/>
      <c r="J14" s="150"/>
      <c r="K14" s="148">
        <f>PLAN!D17</f>
        <v>0</v>
      </c>
      <c r="L14" s="149"/>
      <c r="M14" s="157"/>
      <c r="N14" s="176"/>
      <c r="O14" s="167"/>
      <c r="P14" s="167"/>
    </row>
    <row r="15" spans="1:16" s="10" customFormat="1" ht="43.9" customHeight="1" x14ac:dyDescent="0.2">
      <c r="A15" s="147" t="str">
        <f>PLAN!A18</f>
        <v>3.1.1</v>
      </c>
      <c r="B15" s="355" t="str">
        <f>PLAN!C18</f>
        <v>VEÍCULO TIPO PICAPE LEVE, COM CAPACIDADE PARA CINCO (5) LUGARES, OBEDECIDOS OS SEGUINTES REQUISITOS MÍNIMOS: TER NO MÁXIMO UM (1) ANO DE USO, ATÉ 20.000KM RODADOS, POTÊNCIA MÍNIMA DE 100CV, DIREÇÃO ASSISTIDA, AR CONDICIONADO, DESEMBAÇADOR DE VIDROS, RÁDIO AM/FM, EMPLACADO, COM SEGURO TOTAL (CUSTO FIXO), EXCLUSIVE QUILÔMETRO RODADO (CUSTO VARIÁVEL)</v>
      </c>
      <c r="C15" s="356"/>
      <c r="D15" s="357"/>
      <c r="E15" s="352" t="s">
        <v>310</v>
      </c>
      <c r="F15" s="353"/>
      <c r="G15" s="353"/>
      <c r="H15" s="353"/>
      <c r="I15" s="353"/>
      <c r="J15" s="150" t="s">
        <v>311</v>
      </c>
      <c r="K15" s="148" t="str">
        <f>PLAN!D18</f>
        <v>MÊS</v>
      </c>
      <c r="L15" s="149">
        <f>M7</f>
        <v>12</v>
      </c>
      <c r="M15" s="157"/>
      <c r="N15" s="176"/>
      <c r="O15" s="167"/>
      <c r="P15" s="167"/>
    </row>
    <row r="16" spans="1:16" s="10" customFormat="1" ht="43.9" customHeight="1" x14ac:dyDescent="0.2">
      <c r="A16" s="147" t="str">
        <f>PLAN!A19</f>
        <v>3.1.2</v>
      </c>
      <c r="B16" s="355" t="str">
        <f>PLAN!C19</f>
        <v>VEÍCULO TIPO PICAPE LEVE, COM CAPACIDADE PARA CINCO (5) LUGARES, OBEDECIDOS OS SEGUINTES REQUISITOS MÍNIMOS: TER NO MÁXIMO UM (1) ANO DE USO, ATÉ 20.000KM RODADOS, POTÊNCIA MÍNIMA DE 100CV, DIREÇÃO ASSISTIDA, AR CONDICIONADO, DESEMBAÇADOR DE VIDROS, RÁDIO AM/FM, EMPLACADO, COM SEGURO TOTAL, INCLUSIVE MANUTENÇÃO E COMBUSTÍVEL (CUSTO VARIÁVEL)</v>
      </c>
      <c r="C16" s="356"/>
      <c r="D16" s="357"/>
      <c r="E16" s="352" t="s">
        <v>312</v>
      </c>
      <c r="F16" s="353"/>
      <c r="G16" s="353"/>
      <c r="H16" s="353"/>
      <c r="I16" s="353"/>
      <c r="J16" s="150" t="s">
        <v>314</v>
      </c>
      <c r="K16" s="148" t="str">
        <f>PLAN!D19</f>
        <v>km</v>
      </c>
      <c r="L16" s="149">
        <f>M16*N16</f>
        <v>1200</v>
      </c>
      <c r="M16" s="151">
        <f>12*5</f>
        <v>60</v>
      </c>
      <c r="N16" s="154">
        <v>20</v>
      </c>
      <c r="O16" s="167"/>
      <c r="P16" s="167"/>
    </row>
    <row r="17" spans="1:18" s="10" customFormat="1" ht="13.9" customHeight="1" x14ac:dyDescent="0.2">
      <c r="A17" s="147" t="str">
        <f>PLAN!A20</f>
        <v>3.2</v>
      </c>
      <c r="B17" s="355" t="str">
        <f>PLAN!C20</f>
        <v>RECOMPOSIÇÃO DE CALÇAMENTO EXISTENTE</v>
      </c>
      <c r="C17" s="356"/>
      <c r="D17" s="357"/>
      <c r="E17" s="380"/>
      <c r="F17" s="381"/>
      <c r="G17" s="381"/>
      <c r="H17" s="381"/>
      <c r="I17" s="381"/>
      <c r="J17" s="153"/>
      <c r="K17" s="148">
        <f>PLAN!D20</f>
        <v>0</v>
      </c>
      <c r="L17" s="149"/>
      <c r="M17" s="157"/>
      <c r="N17" s="176"/>
      <c r="O17" s="167"/>
      <c r="P17" s="167"/>
    </row>
    <row r="18" spans="1:18" s="10" customFormat="1" ht="24" customHeight="1" x14ac:dyDescent="0.2">
      <c r="A18" s="147" t="str">
        <f>PLAN!A21</f>
        <v>3.2.1</v>
      </c>
      <c r="B18" s="355" t="str">
        <f>PLAN!C21</f>
        <v>REMOÇÃO E REASSENTAMENTO DE CALÇAMENTO EM BLOCO DE CONCRETO INTERTRAVADO OU SEXTAVADO, COM REAPROVEITAMENTO DOS BLOCOS, INCLUSIVE FORNECIMENTO COM APLICAÇÃO E REGULARIZAÇÃO MECANIZADA DE COLCHÃO DE PÓ-DE-PEDRA</v>
      </c>
      <c r="C18" s="356"/>
      <c r="D18" s="357"/>
      <c r="E18" s="342" t="s">
        <v>313</v>
      </c>
      <c r="F18" s="343"/>
      <c r="G18" s="343"/>
      <c r="H18" s="343"/>
      <c r="I18" s="343"/>
      <c r="J18" s="150" t="s">
        <v>196</v>
      </c>
      <c r="K18" s="148" t="str">
        <f>PLAN!D21</f>
        <v>M2</v>
      </c>
      <c r="L18" s="149">
        <f>M18*N18</f>
        <v>5000</v>
      </c>
      <c r="M18" s="151">
        <v>1000</v>
      </c>
      <c r="N18" s="154">
        <v>5</v>
      </c>
      <c r="O18" s="174"/>
      <c r="P18" s="167"/>
    </row>
    <row r="19" spans="1:18" s="10" customFormat="1" ht="13.9" customHeight="1" x14ac:dyDescent="0.2">
      <c r="A19" s="147" t="str">
        <f>PLAN!A22</f>
        <v>3.2.2</v>
      </c>
      <c r="B19" s="355" t="str">
        <f>PLAN!C22</f>
        <v>REMOÇÃO E REASSENTAMENTO DE MEIO FIO PRÉ MOLDADO DE CONCRETO COM REAPROVEITAMENTO</v>
      </c>
      <c r="C19" s="356"/>
      <c r="D19" s="357"/>
      <c r="E19" s="342" t="s">
        <v>197</v>
      </c>
      <c r="F19" s="343"/>
      <c r="G19" s="343"/>
      <c r="H19" s="343"/>
      <c r="I19" s="343"/>
      <c r="J19" s="150" t="s">
        <v>32</v>
      </c>
      <c r="K19" s="148" t="str">
        <f>PLAN!D22</f>
        <v>M</v>
      </c>
      <c r="L19" s="149">
        <f>M19</f>
        <v>50</v>
      </c>
      <c r="M19" s="151">
        <v>50</v>
      </c>
      <c r="N19" s="177"/>
      <c r="O19" s="167"/>
      <c r="P19" s="167"/>
    </row>
    <row r="20" spans="1:18" s="10" customFormat="1" ht="24" customHeight="1" x14ac:dyDescent="0.2">
      <c r="A20" s="147" t="str">
        <f>PLAN!A23</f>
        <v>3.2.3</v>
      </c>
      <c r="B20" s="355" t="str">
        <f>PLAN!C23</f>
        <v>PISO INTERTRAVADO (MODELO: SEXTAVADO|DIMENSÕES: (30X30)CM|ESPESSURA: 8CM|RESISTÊNCIA MÍNIMA (FCK): 35MPA|MATERIAL: CONCRETO|PESO DO BLOCO*: 9,7KG|PESO POR ÁREA*: 180KG/M2)*VALORES REFERENCIAIS APROXIMADOS</v>
      </c>
      <c r="C20" s="356"/>
      <c r="D20" s="357"/>
      <c r="E20" s="368" t="s">
        <v>198</v>
      </c>
      <c r="F20" s="369"/>
      <c r="G20" s="369"/>
      <c r="H20" s="369"/>
      <c r="I20" s="369"/>
      <c r="J20" s="153" t="s">
        <v>199</v>
      </c>
      <c r="K20" s="148" t="str">
        <f>PLAN!D23</f>
        <v>M2</v>
      </c>
      <c r="L20" s="149">
        <f>ROUND(L18*0.2,2)</f>
        <v>1000</v>
      </c>
      <c r="M20" s="155"/>
      <c r="N20" s="155"/>
      <c r="O20" s="173"/>
      <c r="P20" s="174"/>
    </row>
    <row r="21" spans="1:18" s="10" customFormat="1" ht="13.9" customHeight="1" x14ac:dyDescent="0.2">
      <c r="A21" s="147" t="str">
        <f>PLAN!A24</f>
        <v>3.2.4</v>
      </c>
      <c r="B21" s="355" t="str">
        <f>PLAN!C24</f>
        <v>RECOMPOSIÇÃO DE BASE</v>
      </c>
      <c r="C21" s="356"/>
      <c r="D21" s="357"/>
      <c r="E21" s="380"/>
      <c r="F21" s="381"/>
      <c r="G21" s="381"/>
      <c r="H21" s="381"/>
      <c r="I21" s="381"/>
      <c r="J21" s="156"/>
      <c r="K21" s="148">
        <f>PLAN!D24</f>
        <v>0</v>
      </c>
      <c r="L21" s="149"/>
      <c r="M21" s="157"/>
      <c r="N21" s="176"/>
      <c r="O21" s="167"/>
      <c r="P21" s="167"/>
    </row>
    <row r="22" spans="1:18" s="10" customFormat="1" ht="24" customHeight="1" x14ac:dyDescent="0.2">
      <c r="A22" s="147" t="str">
        <f>PLAN!A25</f>
        <v>3.2.4.1</v>
      </c>
      <c r="B22" s="355" t="str">
        <f>PLAN!C25</f>
        <v>RETROESCAVADEIRA SOBRE RODAS COM CARREGADEIRA, TRAÇÃO 4X4, POTÊNCIA LÍQ. 88 HP, CAÇAMBA CARREG. CAP. MÍN. 1 M3, CAÇAMBA RETRO CAP. 0,26 M3, PESO OPERACIONAL MÍN. 6.674 KG, PROFUNDIDADE ESCAVAÇÃO MÁX. 4,37 M - CHI DIURNO. AF_06/2014</v>
      </c>
      <c r="C22" s="356"/>
      <c r="D22" s="357"/>
      <c r="E22" s="342" t="s">
        <v>316</v>
      </c>
      <c r="F22" s="343"/>
      <c r="G22" s="343"/>
      <c r="H22" s="343"/>
      <c r="I22" s="343"/>
      <c r="J22" s="150" t="s">
        <v>192</v>
      </c>
      <c r="K22" s="148" t="str">
        <f>PLAN!D25</f>
        <v>CHI</v>
      </c>
      <c r="L22" s="158">
        <f>M22*N22</f>
        <v>48</v>
      </c>
      <c r="M22" s="151">
        <f>12*2</f>
        <v>24</v>
      </c>
      <c r="N22" s="154">
        <v>2</v>
      </c>
      <c r="O22" s="167"/>
      <c r="P22" s="167"/>
    </row>
    <row r="23" spans="1:18" s="10" customFormat="1" ht="24" customHeight="1" x14ac:dyDescent="0.2">
      <c r="A23" s="147" t="str">
        <f>PLAN!A26</f>
        <v>3.2.4.2</v>
      </c>
      <c r="B23" s="355" t="str">
        <f>PLAN!C26</f>
        <v>RETROESCAVADEIRA SOBRE RODAS COM CARREGADEIRA, TRAÇÃO 4X4, POTÊNCIA LÍQ. 88 HP, CAÇAMBA CARREG. CAP. MÍN. 1 M3, CAÇAMBA RETRO CAP. 0,26 M3, PESO OPERACIONAL MÍN. 6.674 KG, PROFUNDIDADE ESCAVAÇÃO MÁX. 4,37 M - CHP DIURNO. AF_06/2014</v>
      </c>
      <c r="C23" s="356"/>
      <c r="D23" s="357"/>
      <c r="E23" s="342" t="s">
        <v>315</v>
      </c>
      <c r="F23" s="343"/>
      <c r="G23" s="343"/>
      <c r="H23" s="343"/>
      <c r="I23" s="343"/>
      <c r="J23" s="150" t="s">
        <v>193</v>
      </c>
      <c r="K23" s="148" t="str">
        <f>PLAN!D26</f>
        <v>CHP</v>
      </c>
      <c r="L23" s="158">
        <f>M23*N23</f>
        <v>96</v>
      </c>
      <c r="M23" s="151">
        <f>M22</f>
        <v>24</v>
      </c>
      <c r="N23" s="154">
        <v>4</v>
      </c>
      <c r="O23" s="167"/>
      <c r="P23" s="167"/>
    </row>
    <row r="24" spans="1:18" s="10" customFormat="1" ht="24" customHeight="1" x14ac:dyDescent="0.2">
      <c r="A24" s="147" t="str">
        <f>PLAN!A27</f>
        <v>3.2.4.3</v>
      </c>
      <c r="B24" s="355" t="str">
        <f>PLAN!C27</f>
        <v>REMOÇÃO MATERIAL C/ TRANSPORTE CAMINHÃO BASCULANTE DE 10 M³, EM VIA URBANA PAVIMENTADA, DMT ATÉ 30 KM (UNID: M3XKM).</v>
      </c>
      <c r="C24" s="356"/>
      <c r="D24" s="357"/>
      <c r="E24" s="342" t="s">
        <v>340</v>
      </c>
      <c r="F24" s="343"/>
      <c r="G24" s="343"/>
      <c r="H24" s="343"/>
      <c r="I24" s="343"/>
      <c r="J24" s="150" t="s">
        <v>212</v>
      </c>
      <c r="K24" s="148" t="str">
        <f>PLAN!D27</f>
        <v>M3xKM</v>
      </c>
      <c r="L24" s="158">
        <f>ROUND(L18*0.3*1*10,2)</f>
        <v>15000</v>
      </c>
      <c r="M24" s="157"/>
      <c r="N24" s="176"/>
      <c r="O24" s="167"/>
      <c r="P24" s="167"/>
    </row>
    <row r="25" spans="1:18" s="10" customFormat="1" ht="13.9" customHeight="1" x14ac:dyDescent="0.2">
      <c r="A25" s="147" t="str">
        <f>PLAN!A28</f>
        <v>3.2.4.4</v>
      </c>
      <c r="B25" s="355" t="str">
        <f>PLAN!C28</f>
        <v>ENROCAMENTO DE PEDRA ESPALHADA E COMPACTADA MECANICAMENTE - PEDRA DE MÃO COMERCIAL - FORNECIMENTO E ASSENTAMENTO</v>
      </c>
      <c r="C25" s="356"/>
      <c r="D25" s="357"/>
      <c r="E25" s="342" t="s">
        <v>338</v>
      </c>
      <c r="F25" s="343"/>
      <c r="G25" s="343"/>
      <c r="H25" s="343"/>
      <c r="I25" s="343"/>
      <c r="J25" s="156" t="s">
        <v>189</v>
      </c>
      <c r="K25" s="148" t="str">
        <f>PLAN!D28</f>
        <v>M3</v>
      </c>
      <c r="L25" s="158">
        <f>ROUND(L18*0.5*0.3,2)</f>
        <v>750</v>
      </c>
      <c r="M25" s="155"/>
      <c r="N25" s="155"/>
      <c r="O25" s="167"/>
      <c r="P25" s="167"/>
    </row>
    <row r="26" spans="1:18" s="10" customFormat="1" ht="34.15" customHeight="1" x14ac:dyDescent="0.2">
      <c r="A26" s="147" t="str">
        <f>PLAN!A29</f>
        <v>3.2.4.5</v>
      </c>
      <c r="B26" s="355" t="str">
        <f>PLAN!C29</f>
        <v>Base ou sub base estabilizada granulometricamente com mistura na pista de solo bica corrida (30%   70%), com material de jazida e bica corrida comercial Compactado na energia modificada (Execução, incluído escavação e carga do material de jazida, fornecimento e carga da bica corrida, exclui o transporte)</v>
      </c>
      <c r="C26" s="356"/>
      <c r="D26" s="357"/>
      <c r="E26" s="342" t="s">
        <v>339</v>
      </c>
      <c r="F26" s="343"/>
      <c r="G26" s="343"/>
      <c r="H26" s="343"/>
      <c r="I26" s="343"/>
      <c r="J26" s="150" t="s">
        <v>194</v>
      </c>
      <c r="K26" s="148" t="str">
        <f>PLAN!D29</f>
        <v>M3</v>
      </c>
      <c r="L26" s="159">
        <f>ROUND(L18*0.5*0.3,2)</f>
        <v>750</v>
      </c>
      <c r="M26" s="157"/>
      <c r="N26" s="176"/>
      <c r="O26" s="167"/>
      <c r="P26" s="167"/>
    </row>
    <row r="27" spans="1:18" s="10" customFormat="1" ht="13.9" customHeight="1" x14ac:dyDescent="0.2">
      <c r="A27" s="147" t="str">
        <f>PLAN!A30</f>
        <v>3.2.4.6</v>
      </c>
      <c r="B27" s="355" t="str">
        <f>PLAN!C30</f>
        <v>Transporte de bica corrida produzida ou comercial até a usina de solos com caminhão basculante de 12 m3 em piso pavimentado</v>
      </c>
      <c r="C27" s="356"/>
      <c r="D27" s="357"/>
      <c r="E27" s="342" t="s">
        <v>195</v>
      </c>
      <c r="F27" s="343"/>
      <c r="G27" s="343"/>
      <c r="H27" s="343"/>
      <c r="I27" s="343"/>
      <c r="J27" s="156" t="s">
        <v>190</v>
      </c>
      <c r="K27" s="148" t="str">
        <f>PLAN!D30</f>
        <v>Txkm</v>
      </c>
      <c r="L27" s="158">
        <f>ROUND(1.5*50*L26,2)</f>
        <v>56250</v>
      </c>
      <c r="M27" s="155"/>
      <c r="N27" s="160"/>
      <c r="O27" s="168"/>
      <c r="P27" s="168"/>
      <c r="Q27" s="114"/>
      <c r="R27" s="114"/>
    </row>
    <row r="28" spans="1:18" s="10" customFormat="1" ht="13.9" customHeight="1" x14ac:dyDescent="0.2">
      <c r="A28" s="147" t="str">
        <f>PLAN!A31</f>
        <v>3.3</v>
      </c>
      <c r="B28" s="355" t="str">
        <f>PLAN!C31</f>
        <v>EXECUÇÃO DE QUEBRA-MOLAS</v>
      </c>
      <c r="C28" s="356"/>
      <c r="D28" s="357"/>
      <c r="E28" s="342"/>
      <c r="F28" s="343"/>
      <c r="G28" s="343"/>
      <c r="H28" s="343"/>
      <c r="I28" s="343"/>
      <c r="J28" s="150"/>
      <c r="K28" s="148">
        <f>PLAN!D31</f>
        <v>0</v>
      </c>
      <c r="L28" s="149"/>
      <c r="M28" s="157"/>
      <c r="N28" s="176"/>
      <c r="O28" s="167"/>
      <c r="P28" s="167"/>
    </row>
    <row r="29" spans="1:18" s="10" customFormat="1" ht="24" customHeight="1" x14ac:dyDescent="0.2">
      <c r="A29" s="147" t="str">
        <f>PLAN!A32</f>
        <v>3.3.1</v>
      </c>
      <c r="B29" s="355" t="str">
        <f>PLAN!C32</f>
        <v>REMOÇÃO E REASSENTAMENTO DE CALÇAMENTO EM BLOCO DE CONCRETO INTERTRAVADO OU SEXTAVADO, C/ REAPROVEITAMENTO DOS BLOCOS, INCL FORNECIMENTO C/ APLICAÇÃO E REGULARIZAÇÃO MECANIZADA DE COLCHÃO DE PÓ-DE-PEDRA</v>
      </c>
      <c r="C29" s="356"/>
      <c r="D29" s="357"/>
      <c r="E29" s="368" t="s">
        <v>317</v>
      </c>
      <c r="F29" s="369"/>
      <c r="G29" s="369"/>
      <c r="H29" s="369"/>
      <c r="I29" s="369"/>
      <c r="J29" s="153" t="s">
        <v>333</v>
      </c>
      <c r="K29" s="148" t="str">
        <f>PLAN!D32</f>
        <v>M2</v>
      </c>
      <c r="L29" s="149">
        <f>M29*N29*O29</f>
        <v>1237.5</v>
      </c>
      <c r="M29" s="151">
        <v>50</v>
      </c>
      <c r="N29" s="154">
        <v>5.5</v>
      </c>
      <c r="O29" s="154">
        <v>4.5</v>
      </c>
      <c r="P29" s="167"/>
    </row>
    <row r="30" spans="1:18" s="10" customFormat="1" ht="13.9" customHeight="1" x14ac:dyDescent="0.2">
      <c r="A30" s="147" t="str">
        <f>PLAN!A33</f>
        <v>3.3.2</v>
      </c>
      <c r="B30" s="355" t="str">
        <f>PLAN!C33</f>
        <v>COMPACTAÇÃO MECANIZADA ATERRO COM PLACA VIBRATÓRIA, INCLUSIVE ESPALHAMENTO MANUAL</v>
      </c>
      <c r="C30" s="356"/>
      <c r="D30" s="357"/>
      <c r="E30" s="342" t="s">
        <v>318</v>
      </c>
      <c r="F30" s="343"/>
      <c r="G30" s="343"/>
      <c r="H30" s="343"/>
      <c r="I30" s="343"/>
      <c r="J30" s="156" t="s">
        <v>319</v>
      </c>
      <c r="K30" s="148" t="str">
        <f>PLAN!D33</f>
        <v>M3</v>
      </c>
      <c r="L30" s="149">
        <f>ROUND(M29*O29*M30,2)</f>
        <v>101.25</v>
      </c>
      <c r="M30" s="151">
        <v>0.45</v>
      </c>
      <c r="N30" s="154" t="s">
        <v>320</v>
      </c>
      <c r="O30" s="167"/>
      <c r="P30" s="167"/>
    </row>
    <row r="31" spans="1:18" s="10" customFormat="1" ht="13.9" customHeight="1" x14ac:dyDescent="0.2">
      <c r="A31" s="147" t="str">
        <f>PLAN!A34</f>
        <v>3.4</v>
      </c>
      <c r="B31" s="355" t="str">
        <f>PLAN!C34</f>
        <v>TRAVAMENTO EXTERNO DE MEIO-FIOS EXISTENTES</v>
      </c>
      <c r="C31" s="356"/>
      <c r="D31" s="357"/>
      <c r="E31" s="342"/>
      <c r="F31" s="343"/>
      <c r="G31" s="343"/>
      <c r="H31" s="343"/>
      <c r="I31" s="343"/>
      <c r="J31" s="156"/>
      <c r="K31" s="148">
        <f>PLAN!D34</f>
        <v>0</v>
      </c>
      <c r="L31" s="149"/>
      <c r="M31" s="157"/>
      <c r="N31" s="176"/>
      <c r="O31" s="167"/>
      <c r="P31" s="167"/>
    </row>
    <row r="32" spans="1:18" s="10" customFormat="1" ht="13.9" customHeight="1" x14ac:dyDescent="0.2">
      <c r="A32" s="147" t="str">
        <f>PLAN!A35</f>
        <v>3.4.1</v>
      </c>
      <c r="B32" s="355" t="str">
        <f>PLAN!C35</f>
        <v>ESCAVAÇÃO MANUAL DE TERRA (DESATERRO MANUAL), INCL DESCARGA LATERAL, EXCL RETIRADA E TRANSPORTE DO MATERIAL ESCAVADO</v>
      </c>
      <c r="C32" s="356"/>
      <c r="D32" s="357"/>
      <c r="E32" s="347" t="s">
        <v>185</v>
      </c>
      <c r="F32" s="347"/>
      <c r="G32" s="350" t="s">
        <v>186</v>
      </c>
      <c r="H32" s="351"/>
      <c r="I32" s="299">
        <f>M32</f>
        <v>1000</v>
      </c>
      <c r="J32" s="156" t="s">
        <v>187</v>
      </c>
      <c r="K32" s="148" t="str">
        <f>PLAN!D35</f>
        <v>M3</v>
      </c>
      <c r="L32" s="149">
        <f>ROUND(M32*2*0.5*0.25*2,2)</f>
        <v>500</v>
      </c>
      <c r="M32" s="232">
        <v>1000</v>
      </c>
      <c r="N32" s="178"/>
      <c r="O32" s="167"/>
      <c r="P32" s="167"/>
    </row>
    <row r="33" spans="1:16" s="10" customFormat="1" ht="13.9" customHeight="1" x14ac:dyDescent="0.2">
      <c r="A33" s="147" t="str">
        <f>PLAN!A36</f>
        <v>3.4.2</v>
      </c>
      <c r="B33" s="355" t="str">
        <f>PLAN!C36</f>
        <v>COMPACTAÇÃO MECANIZADA ATERRO COM PLACA VIBRATÓRIA, INCLUSIVE ESPALHAMENTO MANUAL</v>
      </c>
      <c r="C33" s="356"/>
      <c r="D33" s="357"/>
      <c r="E33" s="347" t="s">
        <v>185</v>
      </c>
      <c r="F33" s="347"/>
      <c r="G33" s="350" t="s">
        <v>186</v>
      </c>
      <c r="H33" s="351"/>
      <c r="I33" s="299">
        <f>M32</f>
        <v>1000</v>
      </c>
      <c r="J33" s="156" t="s">
        <v>188</v>
      </c>
      <c r="K33" s="148" t="str">
        <f>PLAN!D36</f>
        <v>M3</v>
      </c>
      <c r="L33" s="149">
        <f>L32</f>
        <v>500</v>
      </c>
      <c r="M33" s="157"/>
      <c r="N33" s="178"/>
      <c r="O33" s="167"/>
      <c r="P33" s="167"/>
    </row>
    <row r="34" spans="1:16" s="10" customFormat="1" ht="13.9" customHeight="1" x14ac:dyDescent="0.2">
      <c r="A34" s="147" t="str">
        <f>PLAN!A37</f>
        <v>3.5</v>
      </c>
      <c r="B34" s="355" t="str">
        <f>PLAN!C37</f>
        <v>DRENAGEM PLUVIAL</v>
      </c>
      <c r="C34" s="356"/>
      <c r="D34" s="357"/>
      <c r="E34" s="364"/>
      <c r="F34" s="365"/>
      <c r="G34" s="343"/>
      <c r="H34" s="343"/>
      <c r="I34" s="343"/>
      <c r="J34" s="150"/>
      <c r="K34" s="148">
        <f>PLAN!D37</f>
        <v>0</v>
      </c>
      <c r="L34" s="164"/>
      <c r="M34" s="157"/>
      <c r="N34" s="178"/>
      <c r="O34" s="167"/>
      <c r="P34" s="167"/>
    </row>
    <row r="35" spans="1:16" s="10" customFormat="1" ht="24" customHeight="1" x14ac:dyDescent="0.2">
      <c r="A35" s="147" t="str">
        <f>PLAN!A38</f>
        <v>3.5.1</v>
      </c>
      <c r="B35" s="355" t="str">
        <f>PLAN!C38</f>
        <v>RETROESCAVADEIRA SOBRE RODAS C/ CARREGADEIRA, TRAÇÃO 4X4, POTÊNCIA LÍQ. 88 HP, CAÇAMBA CARREG. CAP. MÍN. 1 M3, CAÇAMBA RETRO CAP. 0,26 M3, PESO OPERACIONAL MÍN. 6.674 KG, PROFUND ESCAVAÇÃO MÁX. 4,37 M - CHI DIURNO</v>
      </c>
      <c r="C35" s="356"/>
      <c r="D35" s="357"/>
      <c r="E35" s="342" t="s">
        <v>316</v>
      </c>
      <c r="F35" s="343"/>
      <c r="G35" s="343"/>
      <c r="H35" s="343"/>
      <c r="I35" s="343"/>
      <c r="J35" s="150" t="s">
        <v>127</v>
      </c>
      <c r="K35" s="148" t="str">
        <f>PLAN!D38</f>
        <v>CHI</v>
      </c>
      <c r="L35" s="149">
        <f>2*M38</f>
        <v>20</v>
      </c>
      <c r="M35" s="157"/>
      <c r="N35" s="178"/>
      <c r="O35" s="167"/>
      <c r="P35" s="167"/>
    </row>
    <row r="36" spans="1:16" s="10" customFormat="1" ht="24" customHeight="1" x14ac:dyDescent="0.2">
      <c r="A36" s="147" t="str">
        <f>PLAN!A39</f>
        <v>3.5.2</v>
      </c>
      <c r="B36" s="355" t="str">
        <f>PLAN!C39</f>
        <v>RETROESCAVADEIRA SOBRE RODAS C/ CARREGADEIRA, TRAÇÃO 4X4, POTÊNCIA LÍQ. 88 HP, CAÇAMBA CARREG. CAP. MÍN. 1 M3, CAÇAMBA RETRO CAP. 0,26 M3, PESO OPERACIONAL MÍN. 6.674 KG, PROFUND ESCAVAÇÃO MÁX. 4,37 M - CHP DIURNO</v>
      </c>
      <c r="C36" s="356"/>
      <c r="D36" s="357"/>
      <c r="E36" s="342" t="s">
        <v>315</v>
      </c>
      <c r="F36" s="343"/>
      <c r="G36" s="343"/>
      <c r="H36" s="343"/>
      <c r="I36" s="343"/>
      <c r="J36" s="156" t="s">
        <v>127</v>
      </c>
      <c r="K36" s="148" t="str">
        <f>PLAN!D39</f>
        <v>CHP</v>
      </c>
      <c r="L36" s="149">
        <f>4*M38</f>
        <v>40</v>
      </c>
      <c r="M36" s="157"/>
      <c r="N36" s="178"/>
      <c r="O36" s="167"/>
      <c r="P36" s="167"/>
    </row>
    <row r="37" spans="1:16" s="10" customFormat="1" ht="13.9" customHeight="1" x14ac:dyDescent="0.2">
      <c r="A37" s="147" t="str">
        <f>PLAN!A40</f>
        <v>3.5.3</v>
      </c>
      <c r="B37" s="355" t="str">
        <f>PLAN!C40</f>
        <v>APILOAMENTO DO FUNDO DE VALAS COM PLACA VIBRATÓRIA</v>
      </c>
      <c r="C37" s="356"/>
      <c r="D37" s="357"/>
      <c r="E37" s="364" t="s">
        <v>128</v>
      </c>
      <c r="F37" s="365"/>
      <c r="G37" s="343"/>
      <c r="H37" s="343"/>
      <c r="I37" s="343"/>
      <c r="J37" s="150" t="s">
        <v>129</v>
      </c>
      <c r="K37" s="148" t="str">
        <f>PLAN!D40</f>
        <v>M2</v>
      </c>
      <c r="L37" s="164">
        <f>ROUND(L38*1.3,2)</f>
        <v>104</v>
      </c>
      <c r="M37" s="157"/>
      <c r="N37" s="178"/>
      <c r="O37" s="167"/>
      <c r="P37" s="167"/>
    </row>
    <row r="38" spans="1:16" s="10" customFormat="1" ht="34.15" customHeight="1" x14ac:dyDescent="0.2">
      <c r="A38" s="147" t="str">
        <f>PLAN!A41</f>
        <v>3.5.4</v>
      </c>
      <c r="B38" s="355" t="str">
        <f>PLAN!C41</f>
        <v>TUBO DE CONCRETO ARMADO, CLASSE PA1, DIÂMETRO DE 600MM, INCLUSIVE CARGA E DESCARGA MECÂNICA EM CAMINHÃO, ASSENTAMENTO E REJUNTAMENTO, EXCLUSIVE ESCAVAÇÃO E TRANSPORTE</v>
      </c>
      <c r="C38" s="356"/>
      <c r="D38" s="357"/>
      <c r="E38" s="185" t="s">
        <v>184</v>
      </c>
      <c r="F38" s="186">
        <f>N38</f>
        <v>8</v>
      </c>
      <c r="G38" s="344" t="s">
        <v>207</v>
      </c>
      <c r="H38" s="344"/>
      <c r="I38" s="165">
        <f>M38</f>
        <v>10</v>
      </c>
      <c r="J38" s="150" t="s">
        <v>32</v>
      </c>
      <c r="K38" s="148" t="str">
        <f>PLAN!D41</f>
        <v>M</v>
      </c>
      <c r="L38" s="149">
        <f>M38*N38</f>
        <v>80</v>
      </c>
      <c r="M38" s="232">
        <v>10</v>
      </c>
      <c r="N38" s="162">
        <v>8</v>
      </c>
      <c r="O38" s="167"/>
      <c r="P38" s="167"/>
    </row>
    <row r="39" spans="1:16" s="10" customFormat="1" ht="24" customHeight="1" x14ac:dyDescent="0.2">
      <c r="A39" s="147" t="str">
        <f>PLAN!A42</f>
        <v>3.5.5</v>
      </c>
      <c r="B39" s="355" t="str">
        <f>PLAN!C42</f>
        <v>REATERRO COMPACTADO DE VALA COM EQUIPAMENTO PLACA VIBRATÓRIA</v>
      </c>
      <c r="C39" s="356"/>
      <c r="D39" s="357"/>
      <c r="E39" s="345" t="s">
        <v>130</v>
      </c>
      <c r="F39" s="346"/>
      <c r="G39" s="343"/>
      <c r="H39" s="343"/>
      <c r="I39" s="343"/>
      <c r="J39" s="150" t="s">
        <v>32</v>
      </c>
      <c r="K39" s="148" t="str">
        <f>PLAN!D42</f>
        <v>M3</v>
      </c>
      <c r="L39" s="149">
        <f>ROUND(L38*1.5*1.4-L38*3.14*0.6*0.6*0.25,2)</f>
        <v>145.38999999999999</v>
      </c>
      <c r="M39" s="157"/>
      <c r="N39" s="176"/>
      <c r="O39" s="167"/>
      <c r="P39" s="167"/>
    </row>
    <row r="40" spans="1:16" s="10" customFormat="1" ht="24" customHeight="1" x14ac:dyDescent="0.2">
      <c r="A40" s="147" t="str">
        <f>PLAN!A43</f>
        <v>3.5.6</v>
      </c>
      <c r="B40" s="355" t="str">
        <f>PLAN!C43</f>
        <v>CAIXA DRENAGEM INSPEÇÃO/PASSAGEM EM ALVENARIA (80X80X140CM), REVESTIMENTO EM ARGAMASSA C/ ADITIVO IMPERMEABILIZANTE, C/ TAMPA CONCRETO, INCL ESCAVAÇÃO, REATERRO E TRANSPORTE C/ RETIRADA DO MATERIAL ESCAVADO</v>
      </c>
      <c r="C40" s="356"/>
      <c r="D40" s="357"/>
      <c r="E40" s="342" t="s">
        <v>208</v>
      </c>
      <c r="F40" s="343"/>
      <c r="G40" s="343"/>
      <c r="H40" s="343"/>
      <c r="I40" s="343"/>
      <c r="J40" s="115" t="s">
        <v>183</v>
      </c>
      <c r="K40" s="148" t="str">
        <f>PLAN!D43</f>
        <v>UNID</v>
      </c>
      <c r="L40" s="149">
        <f>M38*2</f>
        <v>20</v>
      </c>
      <c r="M40" s="157"/>
      <c r="N40" s="176"/>
      <c r="O40" s="167"/>
      <c r="P40" s="167"/>
    </row>
    <row r="41" spans="1:16" s="10" customFormat="1" ht="24" customHeight="1" x14ac:dyDescent="0.2">
      <c r="A41" s="147" t="str">
        <f>PLAN!A44</f>
        <v>3.5.7</v>
      </c>
      <c r="B41" s="355" t="str">
        <f>PLAN!C44</f>
        <v>GRELHA CAIXILHO DE CONCRETO ARMADO,SENDO AS DIMENSOES EXTERN AS DE 0,40X0,90M (GRELHA) E 1,10X0,54M (CAIXILHO).EXCLUSIVE FORMAS.FORNECIMENTO E COLOCACAO 3% - DESGASTE DE FERRAMENTAS E EPI</v>
      </c>
      <c r="C41" s="356"/>
      <c r="D41" s="357"/>
      <c r="E41" s="342" t="s">
        <v>350</v>
      </c>
      <c r="F41" s="343"/>
      <c r="G41" s="343"/>
      <c r="H41" s="343"/>
      <c r="I41" s="343"/>
      <c r="J41" s="115" t="s">
        <v>183</v>
      </c>
      <c r="K41" s="148" t="str">
        <f>PLAN!D44</f>
        <v>UNID</v>
      </c>
      <c r="L41" s="149">
        <v>60</v>
      </c>
      <c r="M41" s="157"/>
      <c r="N41" s="176"/>
      <c r="O41" s="167"/>
      <c r="P41" s="167"/>
    </row>
    <row r="42" spans="1:16" s="10" customFormat="1" ht="13.9" customHeight="1" x14ac:dyDescent="0.2">
      <c r="A42" s="147" t="str">
        <f>PLAN!A45</f>
        <v>3.5.7</v>
      </c>
      <c r="B42" s="355" t="str">
        <f>PLAN!C45</f>
        <v>DISSIPADOR DE ENERGIA</v>
      </c>
      <c r="C42" s="356"/>
      <c r="D42" s="357"/>
      <c r="E42" s="342"/>
      <c r="F42" s="343"/>
      <c r="G42" s="343"/>
      <c r="H42" s="343"/>
      <c r="I42" s="343"/>
      <c r="J42" s="150"/>
      <c r="K42" s="148">
        <f>PLAN!D45</f>
        <v>0</v>
      </c>
      <c r="L42" s="149"/>
      <c r="M42" s="157"/>
      <c r="N42" s="176"/>
      <c r="O42" s="167"/>
      <c r="P42" s="167"/>
    </row>
    <row r="43" spans="1:16" s="10" customFormat="1" ht="24" customHeight="1" x14ac:dyDescent="0.2">
      <c r="A43" s="147" t="str">
        <f>PLAN!A46</f>
        <v>3.5.7.1</v>
      </c>
      <c r="B43" s="355" t="str">
        <f>PLAN!C46</f>
        <v>CONCRETAGEM DE DISSIPADOR DE ENERGIA, FCK = 20 MPA, COM USO DE JERICAS E PREPARO EM BETONEIRA DE 600 L - AREIA E BRITA COMERCIAIS - LANÇAMENTO, ADENSAMENTO E ACABAMENTO. AF_08/2022</v>
      </c>
      <c r="C43" s="356"/>
      <c r="D43" s="357"/>
      <c r="E43" s="349" t="s">
        <v>177</v>
      </c>
      <c r="F43" s="349"/>
      <c r="G43" s="344" t="s">
        <v>179</v>
      </c>
      <c r="H43" s="344"/>
      <c r="I43" s="165">
        <f>M43</f>
        <v>10</v>
      </c>
      <c r="J43" s="150" t="s">
        <v>180</v>
      </c>
      <c r="K43" s="148" t="str">
        <f>PLAN!D46</f>
        <v>M3</v>
      </c>
      <c r="L43" s="149">
        <f>0.88*M43</f>
        <v>8.8000000000000007</v>
      </c>
      <c r="M43" s="233">
        <v>10</v>
      </c>
      <c r="N43" s="148" t="s">
        <v>178</v>
      </c>
      <c r="O43" s="167"/>
      <c r="P43" s="167"/>
    </row>
    <row r="44" spans="1:16" s="10" customFormat="1" ht="24" customHeight="1" x14ac:dyDescent="0.2">
      <c r="A44" s="147" t="str">
        <f>PLAN!A47</f>
        <v>3.5.7.2</v>
      </c>
      <c r="B44" s="355" t="str">
        <f>PLAN!C47</f>
        <v>FÔRMA E DESFORMA DE TÁBUA E SARRAFO, REAPROVEITAMENTO (5X), EXCLUSIVE ESCORAMENTO</v>
      </c>
      <c r="C44" s="356"/>
      <c r="D44" s="357"/>
      <c r="E44" s="349" t="s">
        <v>177</v>
      </c>
      <c r="F44" s="349"/>
      <c r="G44" s="344" t="s">
        <v>179</v>
      </c>
      <c r="H44" s="344"/>
      <c r="I44" s="166">
        <f>M43</f>
        <v>10</v>
      </c>
      <c r="J44" s="150" t="s">
        <v>181</v>
      </c>
      <c r="K44" s="148" t="str">
        <f>PLAN!D47</f>
        <v>M2</v>
      </c>
      <c r="L44" s="158">
        <f>5.25*M43</f>
        <v>52.5</v>
      </c>
      <c r="M44" s="179"/>
      <c r="N44" s="178"/>
      <c r="O44" s="167"/>
      <c r="P44" s="167"/>
    </row>
    <row r="45" spans="1:16" s="10" customFormat="1" ht="24" customHeight="1" x14ac:dyDescent="0.2">
      <c r="A45" s="147" t="str">
        <f>PLAN!A48</f>
        <v>3.5.7.3</v>
      </c>
      <c r="B45" s="355" t="str">
        <f>PLAN!C48</f>
        <v>PEDRA ARGAMASSADA C/ CIMENTO E AREIA 1:3, 40% DE ARGAMASSA EM VOLUME - AREIA E PEDRA DE MÃO COMERCIAIS - FORNEC E ASSENT</v>
      </c>
      <c r="C45" s="356"/>
      <c r="D45" s="357"/>
      <c r="E45" s="349" t="s">
        <v>177</v>
      </c>
      <c r="F45" s="349"/>
      <c r="G45" s="344" t="s">
        <v>179</v>
      </c>
      <c r="H45" s="344"/>
      <c r="I45" s="166">
        <f>M43</f>
        <v>10</v>
      </c>
      <c r="J45" s="150" t="s">
        <v>182</v>
      </c>
      <c r="K45" s="148" t="str">
        <f>PLAN!D48</f>
        <v>M3</v>
      </c>
      <c r="L45" s="158">
        <f>1.28*M43</f>
        <v>12.8</v>
      </c>
      <c r="M45" s="179"/>
      <c r="N45" s="178"/>
      <c r="O45" s="167"/>
      <c r="P45" s="167"/>
    </row>
    <row r="46" spans="1:16" s="10" customFormat="1" ht="13.9" customHeight="1" x14ac:dyDescent="0.2">
      <c r="A46" s="147" t="str">
        <f>PLAN!A49</f>
        <v>3.6</v>
      </c>
      <c r="B46" s="355" t="str">
        <f>PLAN!C49</f>
        <v>CERCAMENTO EM MOURÕES DE MADEIRA E ARAME FARPADO</v>
      </c>
      <c r="C46" s="356"/>
      <c r="D46" s="357"/>
      <c r="E46" s="352"/>
      <c r="F46" s="353"/>
      <c r="G46" s="353"/>
      <c r="H46" s="353"/>
      <c r="I46" s="354"/>
      <c r="J46" s="156"/>
      <c r="K46" s="148">
        <f>PLAN!D49</f>
        <v>0</v>
      </c>
      <c r="L46" s="158"/>
      <c r="M46" s="157"/>
      <c r="N46" s="176"/>
      <c r="O46" s="167"/>
      <c r="P46" s="167"/>
    </row>
    <row r="47" spans="1:16" s="10" customFormat="1" ht="24" customHeight="1" x14ac:dyDescent="0.2">
      <c r="A47" s="147" t="str">
        <f>PLAN!A50</f>
        <v>3.6.1</v>
      </c>
      <c r="B47" s="355" t="str">
        <f>PLAN!C50</f>
        <v>REMOÇÃO MANUAL DE CERCA, COM REAPROVEITAMENTO, INCLUSIVE AFASTAMENTO, EMPILHAMENTO E REASSENTAMENTO EM LOCAL PRÓXIMO, ALÉM DE TRANSPORTE E RETIRADA DO MATERIAL REMOVIDO NÃO REAPROVEITÁVEL</v>
      </c>
      <c r="C47" s="356"/>
      <c r="D47" s="357"/>
      <c r="E47" s="352" t="s">
        <v>237</v>
      </c>
      <c r="F47" s="353"/>
      <c r="G47" s="353"/>
      <c r="H47" s="353"/>
      <c r="I47" s="354"/>
      <c r="J47" s="150" t="s">
        <v>383</v>
      </c>
      <c r="K47" s="148" t="str">
        <f>PLAN!D50</f>
        <v>M2</v>
      </c>
      <c r="L47" s="149">
        <f>M47*N47</f>
        <v>700</v>
      </c>
      <c r="M47" s="151">
        <v>700</v>
      </c>
      <c r="N47" s="154">
        <v>1</v>
      </c>
      <c r="O47" s="167"/>
      <c r="P47" s="167"/>
    </row>
    <row r="48" spans="1:16" s="10" customFormat="1" ht="13.9" customHeight="1" x14ac:dyDescent="0.2">
      <c r="A48" s="147" t="str">
        <f>PLAN!A51</f>
        <v>3.6.2</v>
      </c>
      <c r="B48" s="355" t="str">
        <f>PLAN!C51</f>
        <v>Recomposição parcial de cerca de arame farpado com mourão de madeira   - ARAME</v>
      </c>
      <c r="C48" s="356"/>
      <c r="D48" s="357"/>
      <c r="E48" s="352" t="s">
        <v>238</v>
      </c>
      <c r="F48" s="353"/>
      <c r="G48" s="353"/>
      <c r="H48" s="353"/>
      <c r="I48" s="354"/>
      <c r="J48" s="150" t="s">
        <v>239</v>
      </c>
      <c r="K48" s="148" t="str">
        <f>PLAN!D51</f>
        <v>M</v>
      </c>
      <c r="L48" s="149">
        <f>M47*M48</f>
        <v>140</v>
      </c>
      <c r="M48" s="151">
        <v>0.2</v>
      </c>
      <c r="N48" s="178"/>
      <c r="O48" s="167"/>
      <c r="P48" s="167"/>
    </row>
    <row r="49" spans="1:16" s="10" customFormat="1" ht="13.9" customHeight="1" x14ac:dyDescent="0.2">
      <c r="A49" s="147" t="str">
        <f>PLAN!A52</f>
        <v>3.6.3</v>
      </c>
      <c r="B49" s="355" t="str">
        <f>PLAN!C52</f>
        <v>Recomposição parcial de cerca de arame farpado com mourão de madeira   - MOURÃO</v>
      </c>
      <c r="C49" s="356"/>
      <c r="D49" s="357"/>
      <c r="E49" s="352" t="s">
        <v>240</v>
      </c>
      <c r="F49" s="353"/>
      <c r="G49" s="353"/>
      <c r="H49" s="353"/>
      <c r="I49" s="354"/>
      <c r="J49" s="150" t="s">
        <v>242</v>
      </c>
      <c r="K49" s="148" t="str">
        <f>PLAN!D52</f>
        <v>M</v>
      </c>
      <c r="L49" s="149">
        <f>M47*M49</f>
        <v>70</v>
      </c>
      <c r="M49" s="151">
        <v>0.1</v>
      </c>
      <c r="N49" s="178"/>
      <c r="O49" s="167"/>
      <c r="P49" s="167"/>
    </row>
    <row r="50" spans="1:16" s="10" customFormat="1" ht="13.9" customHeight="1" x14ac:dyDescent="0.2">
      <c r="A50" s="147" t="str">
        <f>PLAN!A53</f>
        <v>3.6.4</v>
      </c>
      <c r="B50" s="355" t="str">
        <f>PLAN!C53</f>
        <v>Recomposição total de cerca de arame farpado com mourão de madeira</v>
      </c>
      <c r="C50" s="356"/>
      <c r="D50" s="357"/>
      <c r="E50" s="352" t="s">
        <v>241</v>
      </c>
      <c r="F50" s="353"/>
      <c r="G50" s="353"/>
      <c r="H50" s="353"/>
      <c r="I50" s="354"/>
      <c r="J50" s="150" t="s">
        <v>242</v>
      </c>
      <c r="K50" s="148" t="str">
        <f>PLAN!D53</f>
        <v>M</v>
      </c>
      <c r="L50" s="149">
        <f>M47*M50</f>
        <v>70</v>
      </c>
      <c r="M50" s="151">
        <v>0.1</v>
      </c>
      <c r="N50" s="178"/>
      <c r="O50" s="167"/>
      <c r="P50" s="167"/>
    </row>
    <row r="51" spans="1:16" s="10" customFormat="1" ht="13.9" customHeight="1" x14ac:dyDescent="0.2">
      <c r="A51" s="147" t="str">
        <f>PLAN!A54</f>
        <v>3.7</v>
      </c>
      <c r="B51" s="355" t="str">
        <f>PLAN!C54</f>
        <v>PASSEIOS DE CONCRETO P/ ESCOAMENTO DAS ÁGUAS PLUVIAIS DOS TALUDES</v>
      </c>
      <c r="C51" s="356"/>
      <c r="D51" s="357"/>
      <c r="E51" s="352"/>
      <c r="F51" s="353"/>
      <c r="G51" s="353"/>
      <c r="H51" s="353"/>
      <c r="I51" s="354"/>
      <c r="J51" s="156"/>
      <c r="K51" s="148">
        <f>PLAN!D54</f>
        <v>0</v>
      </c>
      <c r="L51" s="149"/>
      <c r="M51" s="157"/>
      <c r="N51" s="176"/>
      <c r="O51" s="167"/>
      <c r="P51" s="167"/>
    </row>
    <row r="52" spans="1:16" s="10" customFormat="1" ht="13.9" customHeight="1" x14ac:dyDescent="0.2">
      <c r="A52" s="147" t="str">
        <f>PLAN!A55</f>
        <v>3.7.1</v>
      </c>
      <c r="B52" s="355" t="str">
        <f>PLAN!C55</f>
        <v>ESCAVAÇÃO MANUAL DE TERRA (DESATERRO MANUAL), INCL DESCARGA LATERAL, EXCL RETIRADA E TRANSPORTE DO MATERIAL ESCAVADO</v>
      </c>
      <c r="C52" s="356"/>
      <c r="D52" s="357"/>
      <c r="E52" s="347" t="s">
        <v>185</v>
      </c>
      <c r="F52" s="347"/>
      <c r="G52" s="350" t="s">
        <v>186</v>
      </c>
      <c r="H52" s="351"/>
      <c r="I52" s="161">
        <f>G54</f>
        <v>100</v>
      </c>
      <c r="J52" s="156" t="s">
        <v>187</v>
      </c>
      <c r="K52" s="148" t="str">
        <f>PLAN!D55</f>
        <v>M3</v>
      </c>
      <c r="L52" s="149">
        <f>ROUND(I52*0.5*0.25*2,2)</f>
        <v>25</v>
      </c>
      <c r="M52" s="176"/>
      <c r="N52" s="176"/>
      <c r="O52" s="167"/>
      <c r="P52" s="167"/>
    </row>
    <row r="53" spans="1:16" s="10" customFormat="1" ht="13.9" customHeight="1" x14ac:dyDescent="0.2">
      <c r="A53" s="147" t="str">
        <f>PLAN!A56</f>
        <v>3.7.2</v>
      </c>
      <c r="B53" s="355" t="str">
        <f>PLAN!C56</f>
        <v>COMPACTAÇÃO MECANIZADA ATERRO COM PLACA VIBRATÓRIA, INCLUSIVE ESPALHAMENTO MANUAL</v>
      </c>
      <c r="C53" s="356"/>
      <c r="D53" s="357"/>
      <c r="E53" s="347" t="s">
        <v>185</v>
      </c>
      <c r="F53" s="347"/>
      <c r="G53" s="350" t="s">
        <v>186</v>
      </c>
      <c r="H53" s="351"/>
      <c r="I53" s="161">
        <f>G54</f>
        <v>100</v>
      </c>
      <c r="J53" s="156" t="s">
        <v>188</v>
      </c>
      <c r="K53" s="148" t="str">
        <f>PLAN!D56</f>
        <v>M3</v>
      </c>
      <c r="L53" s="149">
        <f>ROUND(I53*0.5*0.25*2,2)</f>
        <v>25</v>
      </c>
      <c r="M53" s="157"/>
      <c r="N53" s="176"/>
      <c r="O53" s="167"/>
      <c r="P53" s="167"/>
    </row>
    <row r="54" spans="1:16" s="10" customFormat="1" ht="13.9" customHeight="1" x14ac:dyDescent="0.2">
      <c r="A54" s="147" t="str">
        <f>PLAN!A57</f>
        <v>3.7.3</v>
      </c>
      <c r="B54" s="355" t="str">
        <f>PLAN!C57</f>
        <v>PASSEIOS DE CONCRETO E = 6 CM, FCK = 10 MPA, JUNTA SECA</v>
      </c>
      <c r="C54" s="356"/>
      <c r="D54" s="357"/>
      <c r="E54" s="347" t="s">
        <v>205</v>
      </c>
      <c r="F54" s="347"/>
      <c r="G54" s="348">
        <f>M54</f>
        <v>100</v>
      </c>
      <c r="H54" s="348"/>
      <c r="I54" s="115">
        <v>0.5</v>
      </c>
      <c r="J54" s="150" t="s">
        <v>204</v>
      </c>
      <c r="K54" s="148" t="str">
        <f>PLAN!D57</f>
        <v>M2</v>
      </c>
      <c r="L54" s="149">
        <f>G54*I54</f>
        <v>50</v>
      </c>
      <c r="M54" s="232">
        <v>100</v>
      </c>
      <c r="N54" s="176"/>
      <c r="O54" s="167"/>
      <c r="P54" s="167"/>
    </row>
    <row r="55" spans="1:16" s="10" customFormat="1" ht="13.9" customHeight="1" x14ac:dyDescent="0.2">
      <c r="A55" s="147" t="str">
        <f>PLAN!A58</f>
        <v>3.8</v>
      </c>
      <c r="B55" s="355" t="str">
        <f>PLAN!C58</f>
        <v>LIMPEZA GERAL E OUTROS SERVIÇOS EM VIAS PÚBLICAS</v>
      </c>
      <c r="C55" s="356"/>
      <c r="D55" s="357"/>
      <c r="E55" s="352"/>
      <c r="F55" s="353"/>
      <c r="G55" s="353"/>
      <c r="H55" s="353"/>
      <c r="I55" s="354"/>
      <c r="J55" s="156"/>
      <c r="K55" s="148">
        <f>PLAN!D58</f>
        <v>0</v>
      </c>
      <c r="L55" s="149"/>
      <c r="M55" s="157"/>
      <c r="N55" s="176"/>
      <c r="O55" s="167"/>
      <c r="P55" s="167"/>
    </row>
    <row r="56" spans="1:16" s="10" customFormat="1" ht="24" customHeight="1" x14ac:dyDescent="0.2">
      <c r="A56" s="147" t="str">
        <f>PLAN!A59</f>
        <v>3.8.1</v>
      </c>
      <c r="B56" s="355" t="str">
        <f>PLAN!C59</f>
        <v>RETROESCAVADEIRA SOBRE RODAS COM CARREGADEIRA, TRAÇÃO 4X4, POTÊNCIA LÍQ. 88 HP, CAÇAMBA CARREG. CAP. MÍN. 1 M3, CAÇAMBA RETRO CAP. 0,26 M3, PESO OPERACIONAL MÍN. 6.674 KG, PROFUNDIDADE ESCAVAÇÃO MÁX. 4,37 M - CHI DIURNO. AF_06/2014</v>
      </c>
      <c r="C56" s="356"/>
      <c r="D56" s="357"/>
      <c r="E56" s="342" t="s">
        <v>316</v>
      </c>
      <c r="F56" s="343"/>
      <c r="G56" s="343"/>
      <c r="H56" s="343"/>
      <c r="I56" s="343"/>
      <c r="J56" s="150" t="s">
        <v>329</v>
      </c>
      <c r="K56" s="148" t="str">
        <f>PLAN!D59</f>
        <v>CHI</v>
      </c>
      <c r="L56" s="149">
        <f>M56*N56</f>
        <v>240</v>
      </c>
      <c r="M56" s="151">
        <f>12*10</f>
        <v>120</v>
      </c>
      <c r="N56" s="154">
        <v>2</v>
      </c>
      <c r="O56" s="167"/>
      <c r="P56" s="167"/>
    </row>
    <row r="57" spans="1:16" s="10" customFormat="1" ht="24" customHeight="1" x14ac:dyDescent="0.2">
      <c r="A57" s="147" t="str">
        <f>PLAN!A60</f>
        <v>3.8.2</v>
      </c>
      <c r="B57" s="355" t="str">
        <f>PLAN!C60</f>
        <v>RETROESCAVADEIRA SOBRE RODAS COM CARREGADEIRA, TRAÇÃO 4X4, POTÊNCIA LÍQ. 88 HP, CAÇAMBA CARREG. CAP. MÍN. 1 M3, CAÇAMBA RETRO CAP. 0,26 M3, PESO OPERACIONAL MÍN. 6.674 KG, PROFUNDIDADE ESCAVAÇÃO MÁX. 4,37 M - CHP DIURNO</v>
      </c>
      <c r="C57" s="356"/>
      <c r="D57" s="357"/>
      <c r="E57" s="342" t="s">
        <v>315</v>
      </c>
      <c r="F57" s="343"/>
      <c r="G57" s="343"/>
      <c r="H57" s="343"/>
      <c r="I57" s="343"/>
      <c r="J57" s="156" t="str">
        <f>J56</f>
        <v>estimativa de horas = no. dias x no. horas</v>
      </c>
      <c r="K57" s="148" t="str">
        <f>PLAN!D60</f>
        <v>CHP</v>
      </c>
      <c r="L57" s="149">
        <f>M57*N57</f>
        <v>720</v>
      </c>
      <c r="M57" s="151">
        <f>M56</f>
        <v>120</v>
      </c>
      <c r="N57" s="154">
        <v>6</v>
      </c>
      <c r="O57" s="167"/>
      <c r="P57" s="167"/>
    </row>
    <row r="58" spans="1:16" s="10" customFormat="1" ht="24" customHeight="1" x14ac:dyDescent="0.2">
      <c r="A58" s="147" t="str">
        <f>PLAN!A61</f>
        <v>3.8.3</v>
      </c>
      <c r="B58" s="355" t="str">
        <f>PLAN!C61</f>
        <v>TRANSPORTE DE MATERIAL DE QUALQUER NATUREZA COM CARRINHO DE MÃO, COM DISTÂNCIAS MENORES OU IGUAIS A 50M, INCLUSIVE CARGA/DESCARGA</v>
      </c>
      <c r="C58" s="356"/>
      <c r="D58" s="357"/>
      <c r="E58" s="352" t="s">
        <v>323</v>
      </c>
      <c r="F58" s="353"/>
      <c r="G58" s="353"/>
      <c r="H58" s="353"/>
      <c r="I58" s="354"/>
      <c r="J58" s="156" t="str">
        <f>E58</f>
        <v>volume de material transportado</v>
      </c>
      <c r="K58" s="148" t="str">
        <f>PLAN!D61</f>
        <v>M3</v>
      </c>
      <c r="L58" s="149">
        <f>M59</f>
        <v>300</v>
      </c>
      <c r="M58" s="157"/>
      <c r="N58" s="176"/>
      <c r="O58" s="167"/>
      <c r="P58" s="167"/>
    </row>
    <row r="59" spans="1:16" s="10" customFormat="1" ht="24" customHeight="1" x14ac:dyDescent="0.2">
      <c r="A59" s="147" t="str">
        <f>PLAN!A62</f>
        <v>3.8.4</v>
      </c>
      <c r="B59" s="355" t="str">
        <f>PLAN!C62</f>
        <v>TRANSPORTE DE MATERIAL DE QUALQUER NATUREZA EM CAMINHÃO, DISTÂNCIA MAIOR QUE 1KM E MENOR OU IGUAL A 2KM, DENTRO DO PERÍMETRO URBANO, EXCLUSIVE CARGA, INCLUSIVE DESCARGA</v>
      </c>
      <c r="C59" s="356"/>
      <c r="D59" s="357"/>
      <c r="E59" s="352" t="s">
        <v>324</v>
      </c>
      <c r="F59" s="353"/>
      <c r="G59" s="353"/>
      <c r="H59" s="353"/>
      <c r="I59" s="354"/>
      <c r="J59" s="156" t="s">
        <v>325</v>
      </c>
      <c r="K59" s="148" t="str">
        <f>PLAN!D62</f>
        <v>M3xKM</v>
      </c>
      <c r="L59" s="149">
        <f>M59*N59</f>
        <v>600</v>
      </c>
      <c r="M59" s="151">
        <v>300</v>
      </c>
      <c r="N59" s="154">
        <v>2</v>
      </c>
      <c r="O59" s="167"/>
      <c r="P59" s="167"/>
    </row>
    <row r="60" spans="1:16" s="10" customFormat="1" ht="13.9" customHeight="1" x14ac:dyDescent="0.2">
      <c r="A60" s="147" t="str">
        <f>PLAN!A63</f>
        <v>3.8.5</v>
      </c>
      <c r="B60" s="355" t="str">
        <f>PLAN!C63</f>
        <v>ESCAVAÇÃO MANUAL DE TERRA (DESATERRO MANUAL), INCL DESCARGA LATERAL, EXCL RETIRADA E TRANSPORTE DO MATERIAL ESCAVADO</v>
      </c>
      <c r="C60" s="356"/>
      <c r="D60" s="357"/>
      <c r="E60" s="352" t="s">
        <v>326</v>
      </c>
      <c r="F60" s="353"/>
      <c r="G60" s="353"/>
      <c r="H60" s="353"/>
      <c r="I60" s="354"/>
      <c r="J60" s="156" t="str">
        <f>E60</f>
        <v>volume de material escavado</v>
      </c>
      <c r="K60" s="148" t="str">
        <f>PLAN!D63</f>
        <v>M3</v>
      </c>
      <c r="L60" s="149">
        <v>200</v>
      </c>
      <c r="M60" s="157"/>
      <c r="N60" s="176"/>
      <c r="O60" s="167"/>
      <c r="P60" s="167"/>
    </row>
    <row r="61" spans="1:16" s="10" customFormat="1" ht="24" customHeight="1" x14ac:dyDescent="0.2">
      <c r="A61" s="147" t="str">
        <f>PLAN!A64</f>
        <v>3.8.6</v>
      </c>
      <c r="B61" s="355" t="str">
        <f>PLAN!C64</f>
        <v>LIMPEZA MANUAL DE BUEIROS</v>
      </c>
      <c r="C61" s="356"/>
      <c r="D61" s="357"/>
      <c r="E61" s="352" t="s">
        <v>327</v>
      </c>
      <c r="F61" s="353"/>
      <c r="G61" s="353"/>
      <c r="H61" s="353"/>
      <c r="I61" s="354"/>
      <c r="J61" s="156" t="s">
        <v>328</v>
      </c>
      <c r="K61" s="148" t="str">
        <f>PLAN!D64</f>
        <v>M3</v>
      </c>
      <c r="L61" s="149">
        <f>M61*N61</f>
        <v>14.399999999999999</v>
      </c>
      <c r="M61" s="151">
        <v>30</v>
      </c>
      <c r="N61" s="154">
        <f>0.6*0.8*1</f>
        <v>0.48</v>
      </c>
      <c r="O61" s="167"/>
      <c r="P61" s="167"/>
    </row>
    <row r="62" spans="1:16" s="10" customFormat="1" ht="13.9" customHeight="1" x14ac:dyDescent="0.2">
      <c r="A62" s="147" t="str">
        <f>PLAN!A65</f>
        <v>3.8.7</v>
      </c>
      <c r="B62" s="355" t="str">
        <f>PLAN!C65</f>
        <v>CAPINA MANUAL DO TERRENO, EXCLUSIVE RASTELAMENTO E QUEIMA</v>
      </c>
      <c r="C62" s="356"/>
      <c r="D62" s="357"/>
      <c r="E62" s="352" t="s">
        <v>330</v>
      </c>
      <c r="F62" s="353"/>
      <c r="G62" s="353"/>
      <c r="H62" s="353"/>
      <c r="I62" s="354"/>
      <c r="J62" s="156" t="s">
        <v>331</v>
      </c>
      <c r="K62" s="148" t="str">
        <f>PLAN!D65</f>
        <v>M2</v>
      </c>
      <c r="L62" s="149">
        <f>M62*N62</f>
        <v>1500</v>
      </c>
      <c r="M62" s="151">
        <v>1000</v>
      </c>
      <c r="N62" s="154">
        <v>1.5</v>
      </c>
      <c r="O62" s="167"/>
      <c r="P62" s="167"/>
    </row>
    <row r="63" spans="1:16" s="10" customFormat="1" ht="24" customHeight="1" x14ac:dyDescent="0.2">
      <c r="A63" s="147" t="str">
        <f>PLAN!A66</f>
        <v>3.8.8</v>
      </c>
      <c r="B63" s="355" t="str">
        <f>PLAN!C66</f>
        <v>CORTE DE ÁRVORE COM MOTOSSERRA, DIÂMETRO DO TRONCO ACIMA DE TRINTA (30) CENTÍMETROS ATÉ CINQUENTA (50) CENTÍMETROS, EXCLUSIVE DESTOCAMENTO E AFASTAMENTO</v>
      </c>
      <c r="C63" s="356"/>
      <c r="D63" s="357"/>
      <c r="E63" s="352" t="s">
        <v>332</v>
      </c>
      <c r="F63" s="353"/>
      <c r="G63" s="353"/>
      <c r="H63" s="353"/>
      <c r="I63" s="354"/>
      <c r="J63" s="156" t="str">
        <f>E63</f>
        <v>quantidade de árvores</v>
      </c>
      <c r="K63" s="148" t="str">
        <f>PLAN!D66</f>
        <v>UNID</v>
      </c>
      <c r="L63" s="149">
        <v>20</v>
      </c>
      <c r="M63" s="157"/>
      <c r="N63" s="176"/>
      <c r="O63" s="167"/>
      <c r="P63" s="167"/>
    </row>
    <row r="64" spans="1:16" s="10" customFormat="1" ht="24" customHeight="1" x14ac:dyDescent="0.2">
      <c r="A64" s="147" t="str">
        <f>PLAN!A67</f>
        <v>3.8.9</v>
      </c>
      <c r="B64" s="355" t="str">
        <f>PLAN!C67</f>
        <v>CORTE DE ÁRVORE COM MOTOSSERRA, DIÂMETRO DO TRONCO DE QUINZE (15) CENTÍMETROS ATÉ TRINTA (30) CENTÍMETROS, EXCLUSIVE DESTOCAMENTO E AFASTAMENTO</v>
      </c>
      <c r="C64" s="356"/>
      <c r="D64" s="357"/>
      <c r="E64" s="352" t="str">
        <f>E63</f>
        <v>quantidade de árvores</v>
      </c>
      <c r="F64" s="353"/>
      <c r="G64" s="353"/>
      <c r="H64" s="353"/>
      <c r="I64" s="354"/>
      <c r="J64" s="156" t="str">
        <f>E63</f>
        <v>quantidade de árvores</v>
      </c>
      <c r="K64" s="148" t="str">
        <f>PLAN!D67</f>
        <v>UNID</v>
      </c>
      <c r="L64" s="149">
        <v>50</v>
      </c>
      <c r="M64" s="157"/>
      <c r="N64" s="176"/>
      <c r="O64" s="167"/>
      <c r="P64" s="167"/>
    </row>
    <row r="65" spans="1:18" s="10" customFormat="1" ht="13.9" customHeight="1" x14ac:dyDescent="0.2">
      <c r="A65" s="147" t="str">
        <f>PLAN!A68</f>
        <v>3.9</v>
      </c>
      <c r="B65" s="355" t="str">
        <f>PLAN!C68</f>
        <v>ESTRUTURAS DE CONCRETO ARMADO DE CONTENÇÃO, INFRAESTRUTURA E/OU AFINS</v>
      </c>
      <c r="C65" s="356"/>
      <c r="D65" s="357"/>
      <c r="E65" s="352"/>
      <c r="F65" s="353"/>
      <c r="G65" s="353"/>
      <c r="H65" s="353"/>
      <c r="I65" s="354"/>
      <c r="J65" s="156"/>
      <c r="K65" s="148">
        <f>PLAN!D68</f>
        <v>0</v>
      </c>
      <c r="L65" s="149"/>
      <c r="M65" s="157"/>
      <c r="N65" s="176"/>
      <c r="O65" s="167"/>
      <c r="P65" s="167"/>
    </row>
    <row r="66" spans="1:18" s="10" customFormat="1" ht="24" customHeight="1" x14ac:dyDescent="0.2">
      <c r="A66" s="147" t="str">
        <f>PLAN!A69</f>
        <v>3.9.1</v>
      </c>
      <c r="B66" s="355" t="str">
        <f>PLAN!C69</f>
        <v>RETROESCAVADEIRA SOBRE RODAS COM CARREGADEIRA, TRAÇÃO 4X4, POTÊNCIA LÍQ. 88 HP, CAÇAMBA CARREG. CAP. MÍN. 1 M3, CAÇAMBA RETRO CAP. 0,26 M3, PESO OPERACIONAL MÍN. 6.674 KG, PROFUNDIDADE ESCAVAÇÃO MÁX. 4,37 M - CHI DIURNO. AF_06/2014</v>
      </c>
      <c r="C66" s="356"/>
      <c r="D66" s="357"/>
      <c r="E66" s="342" t="s">
        <v>316</v>
      </c>
      <c r="F66" s="343"/>
      <c r="G66" s="343"/>
      <c r="H66" s="343"/>
      <c r="I66" s="343"/>
      <c r="J66" s="150" t="s">
        <v>329</v>
      </c>
      <c r="K66" s="148" t="str">
        <f>PLAN!D69</f>
        <v>CHI</v>
      </c>
      <c r="L66" s="149">
        <f>M66*N66</f>
        <v>96</v>
      </c>
      <c r="M66" s="151">
        <f>12*4</f>
        <v>48</v>
      </c>
      <c r="N66" s="154">
        <v>2</v>
      </c>
      <c r="O66" s="167"/>
      <c r="P66" s="167"/>
    </row>
    <row r="67" spans="1:18" s="10" customFormat="1" ht="24" customHeight="1" x14ac:dyDescent="0.2">
      <c r="A67" s="147" t="str">
        <f>PLAN!A70</f>
        <v>3.9.2</v>
      </c>
      <c r="B67" s="355" t="str">
        <f>PLAN!C70</f>
        <v>RETROESCAVADEIRA SOBRE RODAS COM CARREGADEIRA, TRAÇÃO 4X4, POTÊNCIA LÍQ. 88 HP, CAÇAMBA CARREG. CAP. MÍN. 1 M3, CAÇAMBA RETRO CAP. 0,26 M3, PESO OPERACIONAL MÍN. 6.674 KG, PROFUNDIDADE ESCAVAÇÃO MÁX. 4,37 M - CHP DIURNO</v>
      </c>
      <c r="C67" s="356"/>
      <c r="D67" s="357"/>
      <c r="E67" s="342" t="s">
        <v>315</v>
      </c>
      <c r="F67" s="343"/>
      <c r="G67" s="343"/>
      <c r="H67" s="343"/>
      <c r="I67" s="343"/>
      <c r="J67" s="156" t="str">
        <f>J66</f>
        <v>estimativa de horas = no. dias x no. horas</v>
      </c>
      <c r="K67" s="148" t="str">
        <f>PLAN!D70</f>
        <v>CHP</v>
      </c>
      <c r="L67" s="149">
        <f>M67*N67</f>
        <v>192</v>
      </c>
      <c r="M67" s="151">
        <f>M66</f>
        <v>48</v>
      </c>
      <c r="N67" s="154">
        <v>4</v>
      </c>
      <c r="O67" s="167"/>
      <c r="P67" s="167"/>
    </row>
    <row r="68" spans="1:18" s="10" customFormat="1" ht="13.9" customHeight="1" x14ac:dyDescent="0.2">
      <c r="A68" s="147" t="str">
        <f>PLAN!A71</f>
        <v>3.9.3</v>
      </c>
      <c r="B68" s="355" t="str">
        <f>PLAN!C71</f>
        <v>ESCAVAÇÃO MANUAL DE VALAS H &lt;= 1,50 M</v>
      </c>
      <c r="C68" s="356"/>
      <c r="D68" s="357"/>
      <c r="E68" s="352" t="s">
        <v>377</v>
      </c>
      <c r="F68" s="353"/>
      <c r="G68" s="353"/>
      <c r="H68" s="353"/>
      <c r="I68" s="354"/>
      <c r="J68" s="156" t="str">
        <f>E68</f>
        <v>volume de material escavado manualmente</v>
      </c>
      <c r="K68" s="148" t="str">
        <f>PLAN!D71</f>
        <v>m3</v>
      </c>
      <c r="L68" s="149">
        <v>100</v>
      </c>
      <c r="M68" s="157"/>
      <c r="N68" s="176"/>
      <c r="O68" s="167"/>
      <c r="P68" s="167"/>
    </row>
    <row r="69" spans="1:18" s="10" customFormat="1" ht="13.9" customHeight="1" x14ac:dyDescent="0.2">
      <c r="A69" s="147" t="str">
        <f>PLAN!A72</f>
        <v>3.9.4</v>
      </c>
      <c r="B69" s="355" t="str">
        <f>PLAN!C72</f>
        <v>REATERRO COMPACTADO COM EQUIPAMENTO PLACA VIBRATÓRIA</v>
      </c>
      <c r="C69" s="356"/>
      <c r="D69" s="357"/>
      <c r="E69" s="352" t="s">
        <v>378</v>
      </c>
      <c r="F69" s="353"/>
      <c r="G69" s="353"/>
      <c r="H69" s="353"/>
      <c r="I69" s="354"/>
      <c r="J69" s="156" t="str">
        <f>E69</f>
        <v>volume de material reaterrado</v>
      </c>
      <c r="K69" s="148" t="str">
        <f>PLAN!D72</f>
        <v>m3</v>
      </c>
      <c r="L69" s="149">
        <v>100</v>
      </c>
      <c r="M69" s="157"/>
      <c r="N69" s="176"/>
      <c r="O69" s="167"/>
      <c r="P69" s="167"/>
    </row>
    <row r="70" spans="1:18" s="10" customFormat="1" ht="13.9" customHeight="1" x14ac:dyDescent="0.2">
      <c r="A70" s="147" t="str">
        <f>PLAN!A73</f>
        <v>3.9.5</v>
      </c>
      <c r="B70" s="355" t="str">
        <f>PLAN!C73</f>
        <v>FÔRMA E DESFORMA DE TÁBUA E SARRAFO, REAPROVEITAMENTO (3X), EXCLUSIVE ESCORAMENTO</v>
      </c>
      <c r="C70" s="356"/>
      <c r="D70" s="357"/>
      <c r="E70" s="352" t="s">
        <v>379</v>
      </c>
      <c r="F70" s="353"/>
      <c r="G70" s="353"/>
      <c r="H70" s="353"/>
      <c r="I70" s="354"/>
      <c r="J70" s="156" t="str">
        <f t="shared" ref="J70:J73" si="0">E70</f>
        <v>área de fôrmas para execução das estruturas</v>
      </c>
      <c r="K70" s="148" t="str">
        <f>PLAN!D73</f>
        <v>m2</v>
      </c>
      <c r="L70" s="149">
        <v>200</v>
      </c>
      <c r="M70" s="157"/>
      <c r="N70" s="176"/>
      <c r="O70" s="167"/>
      <c r="P70" s="167"/>
    </row>
    <row r="71" spans="1:18" s="10" customFormat="1" ht="13.9" customHeight="1" x14ac:dyDescent="0.2">
      <c r="A71" s="147" t="str">
        <f>PLAN!A74</f>
        <v>3.9.6</v>
      </c>
      <c r="B71" s="355" t="str">
        <f>PLAN!C74</f>
        <v>CORTE, DOBRA E ARMAÇÃO DE AÇO CA-50/60</v>
      </c>
      <c r="C71" s="356"/>
      <c r="D71" s="357"/>
      <c r="E71" s="352" t="s">
        <v>380</v>
      </c>
      <c r="F71" s="353"/>
      <c r="G71" s="353"/>
      <c r="H71" s="353"/>
      <c r="I71" s="354"/>
      <c r="J71" s="156" t="str">
        <f t="shared" si="0"/>
        <v>peso do aço para execução das estruturas</v>
      </c>
      <c r="K71" s="148" t="str">
        <f>PLAN!D74</f>
        <v>kg</v>
      </c>
      <c r="L71" s="149">
        <v>4000</v>
      </c>
      <c r="M71" s="157"/>
      <c r="N71" s="176"/>
      <c r="O71" s="167"/>
      <c r="P71" s="167"/>
    </row>
    <row r="72" spans="1:18" s="10" customFormat="1" ht="13.9" customHeight="1" x14ac:dyDescent="0.2">
      <c r="A72" s="147" t="str">
        <f>PLAN!A75</f>
        <v>3.9.7</v>
      </c>
      <c r="B72" s="355" t="str">
        <f>PLAN!C75</f>
        <v>FORNECIMENTO CONCRETO ESTRUTURAL, PREPARADO OBRA, COM FCK 25 MPA, INCL LANÇAMENTO, ADENSAMENTO E ACABAMENTO</v>
      </c>
      <c r="C72" s="356"/>
      <c r="D72" s="357"/>
      <c r="E72" s="352" t="s">
        <v>381</v>
      </c>
      <c r="F72" s="353"/>
      <c r="G72" s="353"/>
      <c r="H72" s="353"/>
      <c r="I72" s="354"/>
      <c r="J72" s="156" t="str">
        <f t="shared" si="0"/>
        <v>volume de concreto para execução das estruturas</v>
      </c>
      <c r="K72" s="148" t="str">
        <f>PLAN!D75</f>
        <v>m3</v>
      </c>
      <c r="L72" s="149">
        <v>40</v>
      </c>
      <c r="M72" s="157"/>
      <c r="N72" s="176"/>
      <c r="O72" s="167"/>
      <c r="P72" s="167"/>
    </row>
    <row r="73" spans="1:18" s="10" customFormat="1" ht="13.9" customHeight="1" x14ac:dyDescent="0.2">
      <c r="A73" s="147" t="str">
        <f>PLAN!A76</f>
        <v>3.9.8</v>
      </c>
      <c r="B73" s="355" t="str">
        <f>PLAN!C76</f>
        <v>ALVENARIA DE BLOCO DE CONCRETO CHEIO, CONCRETO FCK = 15 MPA E ARMAÇÃO E=19CM</v>
      </c>
      <c r="C73" s="356"/>
      <c r="D73" s="357"/>
      <c r="E73" s="352" t="s">
        <v>382</v>
      </c>
      <c r="F73" s="353"/>
      <c r="G73" s="353"/>
      <c r="H73" s="353"/>
      <c r="I73" s="354"/>
      <c r="J73" s="156" t="str">
        <f t="shared" si="0"/>
        <v>área alvenaria em blocos cheios p/ execução das estruturas</v>
      </c>
      <c r="K73" s="148" t="str">
        <f>PLAN!D76</f>
        <v>m2</v>
      </c>
      <c r="L73" s="149">
        <v>150</v>
      </c>
      <c r="M73" s="151">
        <f>PLAN!I77</f>
        <v>1777071.06</v>
      </c>
      <c r="N73" s="176"/>
      <c r="O73" s="167"/>
      <c r="P73" s="167"/>
    </row>
    <row r="74" spans="1:18" s="10" customFormat="1" ht="13.9" customHeight="1" x14ac:dyDescent="0.2">
      <c r="A74" s="288"/>
      <c r="B74" s="289"/>
      <c r="C74" s="289"/>
      <c r="D74" s="289"/>
      <c r="E74" s="253"/>
      <c r="F74" s="253"/>
      <c r="G74" s="290"/>
      <c r="H74" s="290"/>
      <c r="I74" s="290"/>
      <c r="J74" s="291"/>
      <c r="K74" s="291"/>
      <c r="L74" s="292"/>
      <c r="M74" s="163"/>
      <c r="N74" s="176"/>
      <c r="O74" s="167"/>
      <c r="P74" s="167"/>
    </row>
    <row r="75" spans="1:18" s="10" customFormat="1" ht="13.9" customHeight="1" x14ac:dyDescent="0.2">
      <c r="A75" s="288"/>
      <c r="B75" s="289"/>
      <c r="C75" s="289"/>
      <c r="D75" s="289"/>
      <c r="E75" s="253"/>
      <c r="F75" s="253"/>
      <c r="G75" s="290"/>
      <c r="H75" s="290"/>
      <c r="I75" s="290"/>
      <c r="J75" s="291"/>
      <c r="K75" s="291"/>
      <c r="L75" s="292"/>
      <c r="M75" s="163"/>
      <c r="N75" s="176"/>
      <c r="O75" s="167"/>
      <c r="P75" s="167"/>
    </row>
    <row r="76" spans="1:18" x14ac:dyDescent="0.2">
      <c r="A76" s="234"/>
      <c r="B76" s="358" t="s">
        <v>12</v>
      </c>
      <c r="C76" s="358"/>
      <c r="D76" s="358"/>
      <c r="E76" s="316" t="s">
        <v>137</v>
      </c>
      <c r="F76" s="316"/>
      <c r="G76" s="178"/>
      <c r="H76" s="180"/>
      <c r="I76" s="181"/>
      <c r="J76" s="182"/>
      <c r="K76" s="183"/>
      <c r="L76" s="235"/>
      <c r="M76" s="178"/>
      <c r="N76" s="184"/>
      <c r="O76" s="169"/>
      <c r="P76" s="175"/>
      <c r="Q76" s="14"/>
      <c r="R76" s="15"/>
    </row>
    <row r="77" spans="1:18" x14ac:dyDescent="0.2">
      <c r="A77" s="236"/>
      <c r="B77" s="318" t="s">
        <v>7</v>
      </c>
      <c r="C77" s="318"/>
      <c r="D77" s="318"/>
      <c r="E77" s="319" t="s">
        <v>5</v>
      </c>
      <c r="F77" s="319"/>
      <c r="G77" s="237"/>
      <c r="H77" s="237"/>
      <c r="I77" s="238"/>
      <c r="J77" s="239"/>
      <c r="K77" s="240"/>
      <c r="L77" s="241"/>
      <c r="M77" s="178"/>
      <c r="N77" s="184"/>
      <c r="O77" s="169"/>
      <c r="P77" s="175"/>
      <c r="Q77" s="14"/>
      <c r="R77" s="15"/>
    </row>
  </sheetData>
  <mergeCells count="156">
    <mergeCell ref="B73:D73"/>
    <mergeCell ref="E73:I73"/>
    <mergeCell ref="B41:D41"/>
    <mergeCell ref="E41:I41"/>
    <mergeCell ref="B65:D65"/>
    <mergeCell ref="E65:I65"/>
    <mergeCell ref="B66:D66"/>
    <mergeCell ref="E66:I66"/>
    <mergeCell ref="B67:D67"/>
    <mergeCell ref="E67:I67"/>
    <mergeCell ref="B68:D68"/>
    <mergeCell ref="E68:I68"/>
    <mergeCell ref="B57:D57"/>
    <mergeCell ref="B58:D58"/>
    <mergeCell ref="B59:D59"/>
    <mergeCell ref="B60:D60"/>
    <mergeCell ref="B52:D52"/>
    <mergeCell ref="B53:D53"/>
    <mergeCell ref="B54:D54"/>
    <mergeCell ref="M5:N5"/>
    <mergeCell ref="B26:D26"/>
    <mergeCell ref="E26:I26"/>
    <mergeCell ref="B29:D29"/>
    <mergeCell ref="E23:I23"/>
    <mergeCell ref="B24:D24"/>
    <mergeCell ref="B8:D8"/>
    <mergeCell ref="B11:D11"/>
    <mergeCell ref="B7:D7"/>
    <mergeCell ref="E7:I7"/>
    <mergeCell ref="E9:I9"/>
    <mergeCell ref="M7:M9"/>
    <mergeCell ref="B21:D21"/>
    <mergeCell ref="E21:I21"/>
    <mergeCell ref="B5:J5"/>
    <mergeCell ref="B16:D16"/>
    <mergeCell ref="E12:I12"/>
    <mergeCell ref="E28:I28"/>
    <mergeCell ref="B25:D25"/>
    <mergeCell ref="E17:I17"/>
    <mergeCell ref="B19:D19"/>
    <mergeCell ref="E19:I19"/>
    <mergeCell ref="B30:D30"/>
    <mergeCell ref="B31:D31"/>
    <mergeCell ref="B14:D14"/>
    <mergeCell ref="E14:I14"/>
    <mergeCell ref="E15:I15"/>
    <mergeCell ref="E16:I16"/>
    <mergeCell ref="E29:I29"/>
    <mergeCell ref="L2:L4"/>
    <mergeCell ref="E10:I10"/>
    <mergeCell ref="E11:I11"/>
    <mergeCell ref="B6:D6"/>
    <mergeCell ref="B9:D9"/>
    <mergeCell ref="E6:I6"/>
    <mergeCell ref="E8:I8"/>
    <mergeCell ref="B15:D15"/>
    <mergeCell ref="E27:I27"/>
    <mergeCell ref="B28:D28"/>
    <mergeCell ref="E24:I24"/>
    <mergeCell ref="B22:D22"/>
    <mergeCell ref="E22:I22"/>
    <mergeCell ref="B18:D18"/>
    <mergeCell ref="E18:I18"/>
    <mergeCell ref="B17:D17"/>
    <mergeCell ref="B12:D12"/>
    <mergeCell ref="A1:L1"/>
    <mergeCell ref="A2:K2"/>
    <mergeCell ref="A3:K3"/>
    <mergeCell ref="A4:K4"/>
    <mergeCell ref="B39:D39"/>
    <mergeCell ref="B36:D36"/>
    <mergeCell ref="E36:I36"/>
    <mergeCell ref="B37:D37"/>
    <mergeCell ref="E37:I37"/>
    <mergeCell ref="B38:D38"/>
    <mergeCell ref="B33:D33"/>
    <mergeCell ref="B34:D34"/>
    <mergeCell ref="E34:I34"/>
    <mergeCell ref="B35:D35"/>
    <mergeCell ref="E31:I31"/>
    <mergeCell ref="B32:D32"/>
    <mergeCell ref="B13:D13"/>
    <mergeCell ref="E13:I13"/>
    <mergeCell ref="B20:D20"/>
    <mergeCell ref="E20:I20"/>
    <mergeCell ref="B23:D23"/>
    <mergeCell ref="E25:I25"/>
    <mergeCell ref="B10:D10"/>
    <mergeCell ref="B27:D27"/>
    <mergeCell ref="E77:F77"/>
    <mergeCell ref="B76:D76"/>
    <mergeCell ref="B77:D77"/>
    <mergeCell ref="B61:D61"/>
    <mergeCell ref="B62:D62"/>
    <mergeCell ref="B63:D63"/>
    <mergeCell ref="B64:D64"/>
    <mergeCell ref="E57:I57"/>
    <mergeCell ref="E58:I58"/>
    <mergeCell ref="E59:I59"/>
    <mergeCell ref="E60:I60"/>
    <mergeCell ref="E61:I61"/>
    <mergeCell ref="E62:I62"/>
    <mergeCell ref="E63:I63"/>
    <mergeCell ref="E64:I64"/>
    <mergeCell ref="E76:F76"/>
    <mergeCell ref="B69:D69"/>
    <mergeCell ref="E69:I69"/>
    <mergeCell ref="B70:D70"/>
    <mergeCell ref="E70:I70"/>
    <mergeCell ref="B71:D71"/>
    <mergeCell ref="E71:I71"/>
    <mergeCell ref="B72:D72"/>
    <mergeCell ref="E72:I72"/>
    <mergeCell ref="E33:F33"/>
    <mergeCell ref="G33:H33"/>
    <mergeCell ref="B55:D55"/>
    <mergeCell ref="B56:D56"/>
    <mergeCell ref="E55:I55"/>
    <mergeCell ref="E56:I56"/>
    <mergeCell ref="B45:D45"/>
    <mergeCell ref="B40:D40"/>
    <mergeCell ref="B42:D42"/>
    <mergeCell ref="B43:D43"/>
    <mergeCell ref="B44:D44"/>
    <mergeCell ref="B47:D47"/>
    <mergeCell ref="B48:D48"/>
    <mergeCell ref="B49:D49"/>
    <mergeCell ref="B50:D50"/>
    <mergeCell ref="B51:D51"/>
    <mergeCell ref="E46:I46"/>
    <mergeCell ref="B46:D46"/>
    <mergeCell ref="E47:I47"/>
    <mergeCell ref="E30:I30"/>
    <mergeCell ref="E35:I35"/>
    <mergeCell ref="G38:H38"/>
    <mergeCell ref="E39:I39"/>
    <mergeCell ref="E40:I40"/>
    <mergeCell ref="E54:F54"/>
    <mergeCell ref="G54:H54"/>
    <mergeCell ref="E42:I42"/>
    <mergeCell ref="E43:F43"/>
    <mergeCell ref="G43:H43"/>
    <mergeCell ref="E44:F44"/>
    <mergeCell ref="G44:H44"/>
    <mergeCell ref="E45:F45"/>
    <mergeCell ref="G45:H45"/>
    <mergeCell ref="E52:F52"/>
    <mergeCell ref="G52:H52"/>
    <mergeCell ref="E53:F53"/>
    <mergeCell ref="G53:H53"/>
    <mergeCell ref="E48:I48"/>
    <mergeCell ref="E49:I49"/>
    <mergeCell ref="E50:I50"/>
    <mergeCell ref="E51:I51"/>
    <mergeCell ref="E32:F32"/>
    <mergeCell ref="G32:H32"/>
  </mergeCells>
  <printOptions horizontalCentered="1"/>
  <pageMargins left="0.19685039370078741" right="0.19685039370078741" top="0.19685039370078741" bottom="0.19685039370078741" header="0" footer="0"/>
  <pageSetup paperSize="9" scale="75" fitToHeight="0" orientation="landscape" r:id="rId1"/>
  <headerFooter alignWithMargins="0"/>
  <ignoredErrors>
    <ignoredError sqref="L5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D2B3-73B7-4474-82E5-97CE518DC330}">
  <sheetPr codeName="Planilha4"/>
  <dimension ref="A1:AD85"/>
  <sheetViews>
    <sheetView showGridLines="0" showZeros="0" tabSelected="1" view="pageBreakPreview" zoomScaleNormal="100" zoomScaleSheetLayoutView="100" workbookViewId="0">
      <pane ySplit="8" topLeftCell="A24" activePane="bottomLeft" state="frozen"/>
      <selection pane="bottomLeft" activeCell="J15" sqref="J15"/>
    </sheetView>
  </sheetViews>
  <sheetFormatPr defaultColWidth="9.140625" defaultRowHeight="12.75" x14ac:dyDescent="0.2"/>
  <cols>
    <col min="1" max="1" width="7.140625" style="1" customWidth="1"/>
    <col min="2" max="2" width="13" style="1" customWidth="1"/>
    <col min="3" max="3" width="101.85546875" style="1" customWidth="1"/>
    <col min="4" max="4" width="7.28515625" style="1" customWidth="1"/>
    <col min="5" max="8" width="12.7109375" style="1" customWidth="1"/>
    <col min="9" max="9" width="13.7109375" style="1" customWidth="1"/>
    <col min="10" max="10" width="11.42578125" style="1" bestFit="1" customWidth="1"/>
    <col min="11" max="11" width="16" style="1" customWidth="1"/>
    <col min="12" max="12" width="16.5703125" style="1" customWidth="1"/>
    <col min="13" max="13" width="30.85546875" style="1" customWidth="1"/>
    <col min="14" max="24" width="9.140625" style="1"/>
    <col min="25" max="25" width="13.28515625" style="1" customWidth="1"/>
    <col min="26" max="16384" width="9.140625" style="1"/>
  </cols>
  <sheetData>
    <row r="1" spans="1:13" ht="54.6" customHeight="1" x14ac:dyDescent="0.2">
      <c r="A1" s="320"/>
      <c r="B1" s="321"/>
      <c r="C1" s="321"/>
      <c r="D1" s="321"/>
      <c r="E1" s="321"/>
      <c r="F1" s="321"/>
      <c r="G1" s="321"/>
      <c r="H1" s="322"/>
    </row>
    <row r="2" spans="1:13" ht="15" customHeight="1" x14ac:dyDescent="0.2">
      <c r="A2" s="330" t="s">
        <v>2</v>
      </c>
      <c r="B2" s="331"/>
      <c r="C2" s="331"/>
      <c r="D2" s="331"/>
      <c r="E2" s="331"/>
      <c r="F2" s="331"/>
      <c r="G2" s="331"/>
      <c r="H2" s="332"/>
      <c r="J2" s="16"/>
    </row>
    <row r="3" spans="1:13" ht="15" customHeight="1" x14ac:dyDescent="0.2">
      <c r="A3" s="337" t="s">
        <v>25</v>
      </c>
      <c r="B3" s="337"/>
      <c r="C3" s="337"/>
      <c r="D3" s="337"/>
      <c r="E3" s="337"/>
      <c r="F3" s="337"/>
      <c r="G3" s="337"/>
      <c r="H3" s="259" t="s">
        <v>213</v>
      </c>
    </row>
    <row r="4" spans="1:13" ht="15" customHeight="1" x14ac:dyDescent="0.2">
      <c r="A4" s="338" t="s">
        <v>385</v>
      </c>
      <c r="B4" s="339"/>
      <c r="C4" s="339"/>
      <c r="D4" s="339"/>
      <c r="E4" s="339"/>
      <c r="F4" s="339"/>
      <c r="G4" s="340"/>
      <c r="H4" s="258" t="s">
        <v>373</v>
      </c>
    </row>
    <row r="5" spans="1:13" x14ac:dyDescent="0.2">
      <c r="A5" s="326" t="s">
        <v>386</v>
      </c>
      <c r="B5" s="327"/>
      <c r="C5" s="327"/>
      <c r="D5" s="327"/>
      <c r="E5" s="328" t="s">
        <v>283</v>
      </c>
      <c r="F5" s="329"/>
      <c r="G5" s="333" t="s">
        <v>6</v>
      </c>
      <c r="H5" s="334"/>
    </row>
    <row r="6" spans="1:13" ht="15" customHeight="1" x14ac:dyDescent="0.2">
      <c r="A6" s="324" t="s">
        <v>372</v>
      </c>
      <c r="B6" s="325"/>
      <c r="C6" s="325"/>
      <c r="D6" s="325"/>
      <c r="E6" s="333" t="s">
        <v>225</v>
      </c>
      <c r="F6" s="334"/>
      <c r="G6" s="142" t="s">
        <v>10</v>
      </c>
      <c r="H6" s="143" t="s">
        <v>4</v>
      </c>
      <c r="J6" s="19"/>
      <c r="K6" s="19"/>
      <c r="L6" s="19"/>
    </row>
    <row r="7" spans="1:13" ht="15" customHeight="1" x14ac:dyDescent="0.2">
      <c r="A7" s="341" t="s">
        <v>220</v>
      </c>
      <c r="B7" s="327"/>
      <c r="C7" s="261" t="s">
        <v>337</v>
      </c>
      <c r="D7" s="260"/>
      <c r="E7" s="335" t="s">
        <v>226</v>
      </c>
      <c r="F7" s="336"/>
      <c r="G7" s="144" t="s">
        <v>215</v>
      </c>
      <c r="H7" s="141">
        <v>0.26469999999999999</v>
      </c>
      <c r="I7" s="95">
        <f>H77</f>
        <v>1777071.06</v>
      </c>
      <c r="J7" s="20"/>
      <c r="K7" s="21"/>
    </row>
    <row r="8" spans="1:13" ht="13.9" customHeight="1" x14ac:dyDescent="0.2">
      <c r="A8" s="144" t="s">
        <v>0</v>
      </c>
      <c r="B8" s="144" t="s">
        <v>3</v>
      </c>
      <c r="C8" s="144" t="s">
        <v>214</v>
      </c>
      <c r="D8" s="144" t="s">
        <v>13</v>
      </c>
      <c r="E8" s="145" t="s">
        <v>14</v>
      </c>
      <c r="F8" s="146" t="s">
        <v>223</v>
      </c>
      <c r="G8" s="146" t="s">
        <v>224</v>
      </c>
      <c r="H8" s="146" t="s">
        <v>217</v>
      </c>
      <c r="I8" s="90"/>
    </row>
    <row r="9" spans="1:13" ht="13.9" customHeight="1" x14ac:dyDescent="0.2">
      <c r="A9" s="118">
        <v>1</v>
      </c>
      <c r="B9" s="118" t="s">
        <v>52</v>
      </c>
      <c r="C9" s="119" t="s">
        <v>136</v>
      </c>
      <c r="D9" s="120"/>
      <c r="E9" s="121"/>
      <c r="F9" s="121"/>
      <c r="G9" s="122"/>
      <c r="H9" s="123"/>
      <c r="I9" s="90"/>
    </row>
    <row r="10" spans="1:13" ht="13.9" customHeight="1" x14ac:dyDescent="0.2">
      <c r="A10" s="120" t="s">
        <v>53</v>
      </c>
      <c r="B10" s="120" t="s">
        <v>54</v>
      </c>
      <c r="C10" s="124" t="s">
        <v>55</v>
      </c>
      <c r="D10" s="120" t="s">
        <v>146</v>
      </c>
      <c r="E10" s="125">
        <f>MEM!L7</f>
        <v>4.3600000000000003</v>
      </c>
      <c r="F10" s="126">
        <v>9720.1</v>
      </c>
      <c r="G10" s="123">
        <f>ROUND(F10*($H$7+1),2)</f>
        <v>12293.01</v>
      </c>
      <c r="H10" s="123">
        <f>ROUND(E10*G10,2)</f>
        <v>53597.52</v>
      </c>
      <c r="I10" s="90"/>
    </row>
    <row r="11" spans="1:13" ht="13.9" customHeight="1" x14ac:dyDescent="0.2">
      <c r="A11" s="120" t="s">
        <v>56</v>
      </c>
      <c r="B11" s="120" t="s">
        <v>57</v>
      </c>
      <c r="C11" s="124" t="s">
        <v>58</v>
      </c>
      <c r="D11" s="120" t="s">
        <v>146</v>
      </c>
      <c r="E11" s="125">
        <f>MEM!L8</f>
        <v>0.11</v>
      </c>
      <c r="F11" s="126">
        <v>8249.5400000000009</v>
      </c>
      <c r="G11" s="123">
        <f>ROUND(F11*($H$7+1),2)</f>
        <v>10433.19</v>
      </c>
      <c r="H11" s="123">
        <f>ROUND(E11*G11,2)</f>
        <v>1147.6500000000001</v>
      </c>
      <c r="I11" s="90"/>
    </row>
    <row r="12" spans="1:13" ht="13.9" customHeight="1" x14ac:dyDescent="0.2">
      <c r="A12" s="120" t="s">
        <v>59</v>
      </c>
      <c r="B12" s="120" t="s">
        <v>60</v>
      </c>
      <c r="C12" s="124" t="s">
        <v>61</v>
      </c>
      <c r="D12" s="120" t="s">
        <v>146</v>
      </c>
      <c r="E12" s="125">
        <f>MEM!L9</f>
        <v>0.22</v>
      </c>
      <c r="F12" s="126">
        <v>23794.19</v>
      </c>
      <c r="G12" s="123">
        <f>ROUND(F12*($H$7+1),2)</f>
        <v>30092.51</v>
      </c>
      <c r="H12" s="123">
        <f>ROUND(E12*G12,2)</f>
        <v>6620.35</v>
      </c>
      <c r="I12" s="267">
        <f>ROUND(SUM(H10:H12),2)</f>
        <v>61365.52</v>
      </c>
      <c r="J12" s="87">
        <f>I12/H77</f>
        <v>3.4531832396167653E-2</v>
      </c>
      <c r="K12" s="113" t="s">
        <v>200</v>
      </c>
    </row>
    <row r="13" spans="1:13" ht="13.9" customHeight="1" x14ac:dyDescent="0.2">
      <c r="A13" s="127">
        <v>2</v>
      </c>
      <c r="B13" s="127"/>
      <c r="C13" s="128" t="s">
        <v>24</v>
      </c>
      <c r="D13" s="127"/>
      <c r="E13" s="125">
        <f>MEM!L10</f>
        <v>0</v>
      </c>
      <c r="F13" s="121"/>
      <c r="G13" s="123"/>
      <c r="H13" s="123"/>
      <c r="I13" s="94"/>
      <c r="K13" s="2"/>
    </row>
    <row r="14" spans="1:13" ht="24" customHeight="1" thickBot="1" x14ac:dyDescent="0.25">
      <c r="A14" s="129" t="s">
        <v>9</v>
      </c>
      <c r="B14" s="130" t="s">
        <v>31</v>
      </c>
      <c r="C14" s="116" t="s">
        <v>216</v>
      </c>
      <c r="D14" s="130" t="s">
        <v>145</v>
      </c>
      <c r="E14" s="125">
        <f>MEM!L11</f>
        <v>2</v>
      </c>
      <c r="F14" s="131">
        <v>261.86</v>
      </c>
      <c r="G14" s="123">
        <f>ROUND(F14*($H$7+1),2)</f>
        <v>331.17</v>
      </c>
      <c r="H14" s="123">
        <f>ROUND(E14*G14,2)</f>
        <v>662.34</v>
      </c>
      <c r="M14" s="23"/>
    </row>
    <row r="15" spans="1:13" ht="13.9" customHeight="1" thickBot="1" x14ac:dyDescent="0.25">
      <c r="A15" s="129" t="s">
        <v>30</v>
      </c>
      <c r="B15" s="132" t="s">
        <v>48</v>
      </c>
      <c r="C15" s="116" t="s">
        <v>49</v>
      </c>
      <c r="D15" s="133" t="s">
        <v>33</v>
      </c>
      <c r="E15" s="125">
        <f>MEM!L12</f>
        <v>2</v>
      </c>
      <c r="F15" s="134">
        <f>ROUND(G15/1.2647,2)</f>
        <v>1377580.87</v>
      </c>
      <c r="G15" s="123">
        <f>J15</f>
        <v>1742226.53</v>
      </c>
      <c r="H15" s="123">
        <f>ROUND(E15*G15,2)/100</f>
        <v>34844.530599999998</v>
      </c>
      <c r="I15" s="268">
        <f>ROUND(SUM(H14:H15),2)</f>
        <v>35506.870000000003</v>
      </c>
      <c r="J15" s="110">
        <v>1742226.53</v>
      </c>
      <c r="K15" s="112">
        <v>2</v>
      </c>
      <c r="L15" s="18"/>
      <c r="M15" s="23"/>
    </row>
    <row r="16" spans="1:13" ht="13.9" customHeight="1" x14ac:dyDescent="0.2">
      <c r="A16" s="127">
        <v>3</v>
      </c>
      <c r="B16" s="132"/>
      <c r="C16" s="135" t="s">
        <v>138</v>
      </c>
      <c r="D16" s="133"/>
      <c r="E16" s="125">
        <f>MEM!L13</f>
        <v>0</v>
      </c>
      <c r="F16" s="131"/>
      <c r="G16" s="123"/>
      <c r="H16" s="123"/>
      <c r="I16" s="108"/>
      <c r="J16" s="109">
        <f>ROUND(K15*J15/100,2)</f>
        <v>34844.53</v>
      </c>
      <c r="K16" s="111">
        <f>H15-J16</f>
        <v>5.9999999939464033E-4</v>
      </c>
      <c r="L16" s="18"/>
      <c r="M16" s="23"/>
    </row>
    <row r="17" spans="1:30" ht="13.9" customHeight="1" x14ac:dyDescent="0.2">
      <c r="A17" s="127" t="s">
        <v>62</v>
      </c>
      <c r="B17" s="132"/>
      <c r="C17" s="135" t="s">
        <v>285</v>
      </c>
      <c r="D17" s="133"/>
      <c r="E17" s="125">
        <f>MEM!L14</f>
        <v>0</v>
      </c>
      <c r="F17" s="131"/>
      <c r="G17" s="123"/>
      <c r="H17" s="123"/>
      <c r="I17" s="108"/>
      <c r="J17" s="296"/>
      <c r="K17" s="297"/>
      <c r="L17" s="18"/>
      <c r="M17" s="23"/>
    </row>
    <row r="18" spans="1:30" ht="24" customHeight="1" x14ac:dyDescent="0.2">
      <c r="A18" s="129" t="s">
        <v>139</v>
      </c>
      <c r="B18" s="132" t="s">
        <v>284</v>
      </c>
      <c r="C18" s="116" t="s">
        <v>286</v>
      </c>
      <c r="D18" s="133" t="s">
        <v>146</v>
      </c>
      <c r="E18" s="125">
        <f>MEM!L15</f>
        <v>12</v>
      </c>
      <c r="F18" s="131">
        <v>1853.59</v>
      </c>
      <c r="G18" s="123">
        <f t="shared" ref="G18:G20" si="0">ROUND(F18*($H$7+1),2)</f>
        <v>2344.2399999999998</v>
      </c>
      <c r="H18" s="123">
        <f t="shared" ref="H18:H20" si="1">ROUND(E18*G18,2)</f>
        <v>28130.880000000001</v>
      </c>
      <c r="I18" s="108"/>
      <c r="J18" s="296"/>
      <c r="K18" s="300">
        <f>I15-H14</f>
        <v>34844.530000000006</v>
      </c>
      <c r="L18" s="301"/>
      <c r="M18" s="23"/>
    </row>
    <row r="19" spans="1:30" ht="24" customHeight="1" x14ac:dyDescent="0.2">
      <c r="A19" s="129" t="s">
        <v>140</v>
      </c>
      <c r="B19" s="132" t="s">
        <v>243</v>
      </c>
      <c r="C19" s="116" t="s">
        <v>244</v>
      </c>
      <c r="D19" s="133" t="s">
        <v>245</v>
      </c>
      <c r="E19" s="125">
        <f>MEM!L16</f>
        <v>1200</v>
      </c>
      <c r="F19" s="131">
        <v>1.29</v>
      </c>
      <c r="G19" s="123">
        <f t="shared" si="0"/>
        <v>1.63</v>
      </c>
      <c r="H19" s="123">
        <f t="shared" si="1"/>
        <v>1956</v>
      </c>
      <c r="I19" s="267">
        <f>ROUND(SUM(H18:H19),2)</f>
        <v>30086.880000000001</v>
      </c>
      <c r="J19" s="296"/>
      <c r="K19" s="302">
        <f>K18/12</f>
        <v>2903.710833333334</v>
      </c>
      <c r="L19" s="303"/>
      <c r="M19" s="23"/>
    </row>
    <row r="20" spans="1:30" ht="13.9" customHeight="1" x14ac:dyDescent="0.2">
      <c r="A20" s="127" t="s">
        <v>133</v>
      </c>
      <c r="B20" s="127"/>
      <c r="C20" s="128" t="s">
        <v>262</v>
      </c>
      <c r="D20" s="136"/>
      <c r="E20" s="125">
        <f>MEM!L17</f>
        <v>0</v>
      </c>
      <c r="F20" s="131">
        <v>0</v>
      </c>
      <c r="G20" s="123">
        <f t="shared" si="0"/>
        <v>0</v>
      </c>
      <c r="H20" s="123">
        <f t="shared" si="1"/>
        <v>0</v>
      </c>
      <c r="I20" s="91"/>
      <c r="J20" s="23"/>
      <c r="K20" s="304">
        <f>K19/I15</f>
        <v>8.1778845427190106E-2</v>
      </c>
      <c r="L20" s="305">
        <f>H14/I15</f>
        <v>1.8653854873718803E-2</v>
      </c>
      <c r="M20" s="23"/>
    </row>
    <row r="21" spans="1:30" ht="24" customHeight="1" x14ac:dyDescent="0.2">
      <c r="A21" s="129" t="s">
        <v>141</v>
      </c>
      <c r="B21" s="133" t="s">
        <v>150</v>
      </c>
      <c r="C21" s="137" t="s">
        <v>151</v>
      </c>
      <c r="D21" s="130" t="s">
        <v>145</v>
      </c>
      <c r="E21" s="125">
        <f>MEM!L18</f>
        <v>5000</v>
      </c>
      <c r="F21" s="131">
        <v>47.07</v>
      </c>
      <c r="G21" s="123">
        <f t="shared" ref="G21:G40" si="2">ROUND(F21*($H$7+1),2)</f>
        <v>59.53</v>
      </c>
      <c r="H21" s="123">
        <f>ROUND(E21*G21,2)</f>
        <v>297650</v>
      </c>
      <c r="I21" s="91"/>
      <c r="J21" s="23"/>
      <c r="K21" s="306"/>
      <c r="L21" s="307">
        <f>L20+K20</f>
        <v>0.10043270030090891</v>
      </c>
      <c r="M21" s="105"/>
      <c r="P21" s="314"/>
      <c r="Q21" s="314"/>
      <c r="R21" s="314"/>
      <c r="S21" s="314"/>
      <c r="T21" s="314"/>
      <c r="U21" s="314"/>
      <c r="V21" s="314"/>
      <c r="W21" s="314"/>
      <c r="X21" s="309"/>
      <c r="Y21" s="309"/>
      <c r="Z21" s="323"/>
      <c r="AA21" s="309"/>
      <c r="AB21" s="309"/>
      <c r="AC21" s="309"/>
      <c r="AD21" s="102"/>
    </row>
    <row r="22" spans="1:30" ht="13.9" customHeight="1" x14ac:dyDescent="0.2">
      <c r="A22" s="129" t="s">
        <v>142</v>
      </c>
      <c r="B22" s="133" t="s">
        <v>152</v>
      </c>
      <c r="C22" s="137" t="s">
        <v>153</v>
      </c>
      <c r="D22" s="130" t="s">
        <v>147</v>
      </c>
      <c r="E22" s="125">
        <f>MEM!L19</f>
        <v>50</v>
      </c>
      <c r="F22" s="131">
        <v>45.36</v>
      </c>
      <c r="G22" s="123">
        <f t="shared" si="2"/>
        <v>57.37</v>
      </c>
      <c r="H22" s="123">
        <f>ROUND(E22*G22,2)</f>
        <v>2868.5</v>
      </c>
      <c r="I22" s="91"/>
      <c r="J22" s="23"/>
      <c r="K22" s="22"/>
      <c r="L22" s="18"/>
      <c r="M22" s="105"/>
      <c r="P22" s="314"/>
      <c r="Q22" s="314"/>
      <c r="R22" s="314"/>
      <c r="S22" s="314"/>
      <c r="T22" s="314"/>
      <c r="U22" s="314"/>
      <c r="V22" s="314"/>
      <c r="W22" s="314"/>
      <c r="X22" s="309"/>
      <c r="Y22" s="309"/>
      <c r="Z22" s="309"/>
      <c r="AA22" s="309"/>
      <c r="AB22" s="309"/>
      <c r="AC22" s="309"/>
      <c r="AD22" s="103"/>
    </row>
    <row r="23" spans="1:30" ht="24" customHeight="1" x14ac:dyDescent="0.2">
      <c r="A23" s="129" t="s">
        <v>246</v>
      </c>
      <c r="B23" s="130" t="s">
        <v>210</v>
      </c>
      <c r="C23" s="138" t="s">
        <v>211</v>
      </c>
      <c r="D23" s="130" t="s">
        <v>145</v>
      </c>
      <c r="E23" s="125">
        <f>MEM!L20</f>
        <v>1000</v>
      </c>
      <c r="F23" s="131">
        <v>76.5</v>
      </c>
      <c r="G23" s="123">
        <f t="shared" si="2"/>
        <v>96.75</v>
      </c>
      <c r="H23" s="123">
        <f>ROUND(E23*G23,2)</f>
        <v>96750</v>
      </c>
      <c r="I23" s="98"/>
      <c r="J23" s="89" t="s">
        <v>163</v>
      </c>
      <c r="K23" s="22"/>
      <c r="L23" s="18"/>
      <c r="M23" s="105"/>
      <c r="P23" s="100"/>
      <c r="Q23" s="100"/>
      <c r="R23" s="100"/>
      <c r="S23" s="100"/>
      <c r="T23" s="100"/>
      <c r="U23" s="100"/>
      <c r="V23" s="100"/>
      <c r="W23" s="100"/>
      <c r="X23" s="101"/>
      <c r="Y23" s="101"/>
      <c r="Z23" s="101"/>
      <c r="AA23" s="101"/>
      <c r="AB23" s="101"/>
      <c r="AC23" s="101"/>
      <c r="AD23" s="103"/>
    </row>
    <row r="24" spans="1:30" ht="13.9" customHeight="1" x14ac:dyDescent="0.2">
      <c r="A24" s="129" t="s">
        <v>287</v>
      </c>
      <c r="B24" s="133"/>
      <c r="C24" s="137" t="s">
        <v>164</v>
      </c>
      <c r="D24" s="130"/>
      <c r="E24" s="125">
        <f>MEM!L21</f>
        <v>0</v>
      </c>
      <c r="F24" s="131"/>
      <c r="G24" s="123">
        <f t="shared" ref="G24:G30" si="3">ROUND(F24*($H$7+1),2)</f>
        <v>0</v>
      </c>
      <c r="H24" s="123">
        <f t="shared" ref="H24:H30" si="4">ROUND(E24*G24,2)</f>
        <v>0</v>
      </c>
      <c r="I24" s="91"/>
      <c r="J24" s="23"/>
      <c r="K24" s="22"/>
      <c r="L24" s="18"/>
      <c r="M24" s="105"/>
      <c r="P24" s="100"/>
      <c r="Q24" s="100"/>
      <c r="R24" s="100"/>
      <c r="S24" s="100"/>
      <c r="T24" s="100"/>
      <c r="U24" s="100"/>
      <c r="V24" s="100"/>
      <c r="W24" s="100"/>
      <c r="X24" s="101"/>
      <c r="Y24" s="101"/>
      <c r="Z24" s="101"/>
      <c r="AA24" s="101"/>
      <c r="AB24" s="101"/>
      <c r="AC24" s="101"/>
      <c r="AD24" s="103"/>
    </row>
    <row r="25" spans="1:30" ht="24" customHeight="1" x14ac:dyDescent="0.2">
      <c r="A25" s="129" t="s">
        <v>288</v>
      </c>
      <c r="B25" s="133" t="s">
        <v>124</v>
      </c>
      <c r="C25" s="137" t="s">
        <v>155</v>
      </c>
      <c r="D25" s="130" t="s">
        <v>36</v>
      </c>
      <c r="E25" s="125">
        <f>MEM!L22</f>
        <v>48</v>
      </c>
      <c r="F25" s="131">
        <v>75.150000000000006</v>
      </c>
      <c r="G25" s="123">
        <f t="shared" si="3"/>
        <v>95.04</v>
      </c>
      <c r="H25" s="123">
        <f t="shared" si="4"/>
        <v>4561.92</v>
      </c>
      <c r="I25" s="91"/>
      <c r="J25" s="23"/>
      <c r="K25" s="22"/>
      <c r="L25" s="18"/>
      <c r="M25" s="105"/>
      <c r="P25" s="100"/>
      <c r="Q25" s="100"/>
      <c r="R25" s="100"/>
      <c r="S25" s="100"/>
      <c r="T25" s="100"/>
      <c r="U25" s="100"/>
      <c r="V25" s="100"/>
      <c r="W25" s="100"/>
      <c r="X25" s="101"/>
      <c r="Y25" s="101"/>
      <c r="Z25" s="101"/>
      <c r="AA25" s="101"/>
      <c r="AB25" s="101"/>
      <c r="AC25" s="101"/>
      <c r="AD25" s="103"/>
    </row>
    <row r="26" spans="1:30" ht="24" customHeight="1" x14ac:dyDescent="0.2">
      <c r="A26" s="129" t="s">
        <v>289</v>
      </c>
      <c r="B26" s="133" t="s">
        <v>123</v>
      </c>
      <c r="C26" s="137" t="s">
        <v>156</v>
      </c>
      <c r="D26" s="130" t="s">
        <v>47</v>
      </c>
      <c r="E26" s="125">
        <f>MEM!L23</f>
        <v>96</v>
      </c>
      <c r="F26" s="131">
        <v>162.62</v>
      </c>
      <c r="G26" s="123">
        <f t="shared" si="3"/>
        <v>205.67</v>
      </c>
      <c r="H26" s="123">
        <f t="shared" si="4"/>
        <v>19744.32</v>
      </c>
      <c r="I26" s="91"/>
      <c r="J26" s="23"/>
      <c r="K26" s="22"/>
      <c r="L26" s="18"/>
      <c r="M26" s="105"/>
      <c r="P26" s="100"/>
      <c r="Q26" s="100"/>
      <c r="R26" s="100"/>
      <c r="S26" s="100"/>
      <c r="T26" s="100"/>
      <c r="U26" s="100"/>
      <c r="V26" s="100"/>
      <c r="W26" s="100"/>
      <c r="X26" s="101"/>
      <c r="Y26" s="101"/>
      <c r="Z26" s="101"/>
      <c r="AA26" s="101"/>
      <c r="AB26" s="101"/>
      <c r="AC26" s="101"/>
      <c r="AD26" s="103"/>
    </row>
    <row r="27" spans="1:30" ht="13.9" customHeight="1" x14ac:dyDescent="0.2">
      <c r="A27" s="129" t="s">
        <v>290</v>
      </c>
      <c r="B27" s="133" t="s">
        <v>157</v>
      </c>
      <c r="C27" s="137" t="s">
        <v>227</v>
      </c>
      <c r="D27" s="130" t="s">
        <v>158</v>
      </c>
      <c r="E27" s="125">
        <f>MEM!L24</f>
        <v>15000</v>
      </c>
      <c r="F27" s="131">
        <v>2.78</v>
      </c>
      <c r="G27" s="123">
        <f t="shared" si="3"/>
        <v>3.52</v>
      </c>
      <c r="H27" s="123">
        <f t="shared" si="4"/>
        <v>52800</v>
      </c>
      <c r="I27" s="91"/>
      <c r="J27" s="23"/>
      <c r="K27" s="22"/>
      <c r="L27" s="18"/>
      <c r="M27" s="105"/>
      <c r="P27" s="100"/>
      <c r="Q27" s="100"/>
      <c r="R27" s="100"/>
      <c r="S27" s="100"/>
      <c r="T27" s="100"/>
      <c r="U27" s="100"/>
      <c r="V27" s="100"/>
      <c r="W27" s="100"/>
      <c r="X27" s="101"/>
      <c r="Y27" s="101"/>
      <c r="Z27" s="101"/>
      <c r="AA27" s="101"/>
      <c r="AB27" s="101"/>
      <c r="AC27" s="101"/>
      <c r="AD27" s="103"/>
    </row>
    <row r="28" spans="1:30" ht="13.9" customHeight="1" x14ac:dyDescent="0.2">
      <c r="A28" s="129" t="s">
        <v>291</v>
      </c>
      <c r="B28" s="133" t="s">
        <v>154</v>
      </c>
      <c r="C28" s="137" t="s">
        <v>347</v>
      </c>
      <c r="D28" s="130" t="s">
        <v>144</v>
      </c>
      <c r="E28" s="125">
        <f>MEM!L25</f>
        <v>750</v>
      </c>
      <c r="F28" s="131">
        <v>222.22</v>
      </c>
      <c r="G28" s="123">
        <f t="shared" si="3"/>
        <v>281.04000000000002</v>
      </c>
      <c r="H28" s="123">
        <f t="shared" si="4"/>
        <v>210780</v>
      </c>
      <c r="I28" s="91"/>
      <c r="J28" s="23"/>
      <c r="K28" s="22"/>
      <c r="L28" s="18"/>
      <c r="M28" s="105"/>
      <c r="P28" s="100"/>
      <c r="Q28" s="100"/>
      <c r="R28" s="100"/>
      <c r="S28" s="100"/>
      <c r="T28" s="100"/>
      <c r="U28" s="100"/>
      <c r="V28" s="100"/>
      <c r="W28" s="100"/>
      <c r="X28" s="101"/>
      <c r="Y28" s="101"/>
      <c r="Z28" s="101"/>
      <c r="AA28" s="101"/>
      <c r="AB28" s="101"/>
      <c r="AC28" s="101"/>
      <c r="AD28" s="103"/>
    </row>
    <row r="29" spans="1:30" ht="34.15" customHeight="1" x14ac:dyDescent="0.2">
      <c r="A29" s="129" t="s">
        <v>292</v>
      </c>
      <c r="B29" s="133" t="s">
        <v>159</v>
      </c>
      <c r="C29" s="137" t="s">
        <v>160</v>
      </c>
      <c r="D29" s="130" t="s">
        <v>144</v>
      </c>
      <c r="E29" s="125">
        <f>MEM!L26</f>
        <v>750</v>
      </c>
      <c r="F29" s="131">
        <v>143.18</v>
      </c>
      <c r="G29" s="123">
        <f t="shared" si="3"/>
        <v>181.08</v>
      </c>
      <c r="H29" s="123">
        <f t="shared" si="4"/>
        <v>135810</v>
      </c>
      <c r="I29" s="91"/>
      <c r="J29" s="23"/>
      <c r="K29" s="22"/>
      <c r="L29" s="18"/>
      <c r="M29" s="105"/>
      <c r="P29" s="100"/>
      <c r="Q29" s="100"/>
      <c r="R29" s="100"/>
      <c r="S29" s="100"/>
      <c r="T29" s="100"/>
      <c r="U29" s="100"/>
      <c r="V29" s="100"/>
      <c r="W29" s="100"/>
      <c r="X29" s="101"/>
      <c r="Y29" s="101"/>
      <c r="Z29" s="101"/>
      <c r="AA29" s="101"/>
      <c r="AB29" s="101"/>
      <c r="AC29" s="101"/>
      <c r="AD29" s="103"/>
    </row>
    <row r="30" spans="1:30" ht="13.9" customHeight="1" x14ac:dyDescent="0.2">
      <c r="A30" s="129" t="s">
        <v>293</v>
      </c>
      <c r="B30" s="133" t="s">
        <v>161</v>
      </c>
      <c r="C30" s="137" t="s">
        <v>162</v>
      </c>
      <c r="D30" s="130" t="s">
        <v>191</v>
      </c>
      <c r="E30" s="125">
        <f>MEM!L27</f>
        <v>56250</v>
      </c>
      <c r="F30" s="131">
        <v>0.78</v>
      </c>
      <c r="G30" s="123">
        <f t="shared" si="3"/>
        <v>0.99</v>
      </c>
      <c r="H30" s="123">
        <f t="shared" si="4"/>
        <v>55687.5</v>
      </c>
      <c r="I30" s="267">
        <f>ROUND(SUM(H21:H30),2)</f>
        <v>876652.24</v>
      </c>
      <c r="J30" s="23"/>
      <c r="K30" s="22"/>
      <c r="L30" s="18"/>
      <c r="M30" s="105"/>
      <c r="P30" s="100"/>
      <c r="Q30" s="100"/>
      <c r="R30" s="100"/>
      <c r="S30" s="100"/>
      <c r="T30" s="100"/>
      <c r="U30" s="100"/>
      <c r="V30" s="100"/>
      <c r="W30" s="100"/>
      <c r="X30" s="101"/>
      <c r="Y30" s="101"/>
      <c r="Z30" s="101"/>
      <c r="AA30" s="101"/>
      <c r="AB30" s="101"/>
      <c r="AC30" s="101"/>
      <c r="AD30" s="103"/>
    </row>
    <row r="31" spans="1:30" ht="13.9" customHeight="1" x14ac:dyDescent="0.2">
      <c r="A31" s="127" t="s">
        <v>134</v>
      </c>
      <c r="B31" s="132"/>
      <c r="C31" s="135" t="s">
        <v>264</v>
      </c>
      <c r="D31" s="133"/>
      <c r="E31" s="125">
        <f>MEM!L28</f>
        <v>0</v>
      </c>
      <c r="F31" s="131"/>
      <c r="G31" s="123">
        <f t="shared" ref="G31:G34" si="5">ROUND(F31*($H$7+1),2)</f>
        <v>0</v>
      </c>
      <c r="H31" s="123">
        <f t="shared" ref="H31:H34" si="6">ROUND(E31*G31,2)</f>
        <v>0</v>
      </c>
      <c r="I31" s="98"/>
      <c r="J31" s="23"/>
      <c r="K31" s="22"/>
      <c r="L31" s="18"/>
      <c r="M31" s="105"/>
      <c r="P31" s="100"/>
      <c r="Q31" s="100"/>
      <c r="R31" s="100"/>
      <c r="S31" s="100"/>
      <c r="T31" s="100"/>
      <c r="U31" s="100"/>
      <c r="V31" s="100"/>
      <c r="W31" s="100"/>
      <c r="X31" s="101"/>
      <c r="Y31" s="101"/>
      <c r="Z31" s="101"/>
      <c r="AA31" s="101"/>
      <c r="AB31" s="101"/>
      <c r="AC31" s="101"/>
      <c r="AD31" s="103"/>
    </row>
    <row r="32" spans="1:30" ht="24" customHeight="1" x14ac:dyDescent="0.2">
      <c r="A32" s="129" t="s">
        <v>143</v>
      </c>
      <c r="B32" s="133" t="s">
        <v>150</v>
      </c>
      <c r="C32" s="137" t="s">
        <v>265</v>
      </c>
      <c r="D32" s="130" t="s">
        <v>145</v>
      </c>
      <c r="E32" s="125">
        <f>MEM!L29</f>
        <v>1237.5</v>
      </c>
      <c r="F32" s="131">
        <v>47.07</v>
      </c>
      <c r="G32" s="123">
        <f t="shared" si="5"/>
        <v>59.53</v>
      </c>
      <c r="H32" s="123">
        <f t="shared" si="6"/>
        <v>73668.38</v>
      </c>
      <c r="I32" s="98"/>
      <c r="J32" s="23"/>
      <c r="K32" s="22"/>
      <c r="L32" s="18"/>
      <c r="M32" s="105"/>
      <c r="P32" s="100"/>
      <c r="Q32" s="100"/>
      <c r="R32" s="100"/>
      <c r="S32" s="100"/>
      <c r="T32" s="100"/>
      <c r="U32" s="100"/>
      <c r="V32" s="100"/>
      <c r="W32" s="100"/>
      <c r="X32" s="101"/>
      <c r="Y32" s="101"/>
      <c r="Z32" s="101"/>
      <c r="AA32" s="101"/>
      <c r="AB32" s="101"/>
      <c r="AC32" s="101"/>
      <c r="AD32" s="103"/>
    </row>
    <row r="33" spans="1:30" ht="13.9" customHeight="1" x14ac:dyDescent="0.2">
      <c r="A33" s="129" t="s">
        <v>266</v>
      </c>
      <c r="B33" s="130" t="s">
        <v>51</v>
      </c>
      <c r="C33" s="138" t="s">
        <v>203</v>
      </c>
      <c r="D33" s="129" t="s">
        <v>144</v>
      </c>
      <c r="E33" s="125">
        <f>MEM!L30</f>
        <v>101.25</v>
      </c>
      <c r="F33" s="131">
        <v>56.33</v>
      </c>
      <c r="G33" s="123">
        <f t="shared" si="5"/>
        <v>71.239999999999995</v>
      </c>
      <c r="H33" s="123">
        <f t="shared" si="6"/>
        <v>7213.05</v>
      </c>
      <c r="I33" s="267">
        <f>ROUND(SUM(H32:H33),2)</f>
        <v>80881.429999999993</v>
      </c>
      <c r="J33" s="23"/>
      <c r="K33" s="22"/>
      <c r="L33" s="18"/>
      <c r="M33" s="105"/>
      <c r="P33" s="100"/>
      <c r="Q33" s="100"/>
      <c r="R33" s="100"/>
      <c r="S33" s="100"/>
      <c r="T33" s="100"/>
      <c r="U33" s="100"/>
      <c r="V33" s="100"/>
      <c r="W33" s="100"/>
      <c r="X33" s="101"/>
      <c r="Y33" s="101"/>
      <c r="Z33" s="101"/>
      <c r="AA33" s="101"/>
      <c r="AB33" s="101"/>
      <c r="AC33" s="101"/>
      <c r="AD33" s="103"/>
    </row>
    <row r="34" spans="1:30" ht="13.9" customHeight="1" x14ac:dyDescent="0.2">
      <c r="A34" s="127" t="s">
        <v>267</v>
      </c>
      <c r="B34" s="127"/>
      <c r="C34" s="128" t="s">
        <v>206</v>
      </c>
      <c r="D34" s="129"/>
      <c r="E34" s="125">
        <f>MEM!L31</f>
        <v>0</v>
      </c>
      <c r="F34" s="131"/>
      <c r="G34" s="123">
        <f t="shared" si="5"/>
        <v>0</v>
      </c>
      <c r="H34" s="123">
        <f t="shared" si="6"/>
        <v>0</v>
      </c>
      <c r="I34" s="91"/>
      <c r="J34" s="23"/>
      <c r="K34" s="22"/>
      <c r="L34" s="18"/>
      <c r="M34" s="105"/>
      <c r="P34" s="100"/>
      <c r="Q34" s="100"/>
      <c r="R34" s="100"/>
      <c r="S34" s="100"/>
      <c r="T34" s="100"/>
      <c r="U34" s="100"/>
      <c r="V34" s="100"/>
      <c r="W34" s="100"/>
      <c r="X34" s="101"/>
      <c r="Y34" s="101"/>
      <c r="Z34" s="101"/>
      <c r="AA34" s="101"/>
      <c r="AB34" s="101"/>
      <c r="AC34" s="101"/>
      <c r="AD34" s="103"/>
    </row>
    <row r="35" spans="1:30" ht="13.9" customHeight="1" x14ac:dyDescent="0.2">
      <c r="A35" s="129" t="s">
        <v>268</v>
      </c>
      <c r="B35" s="130" t="s">
        <v>50</v>
      </c>
      <c r="C35" s="138" t="s">
        <v>221</v>
      </c>
      <c r="D35" s="129" t="s">
        <v>144</v>
      </c>
      <c r="E35" s="125">
        <f>MEM!L32</f>
        <v>500</v>
      </c>
      <c r="F35" s="131">
        <v>47.14</v>
      </c>
      <c r="G35" s="123">
        <f t="shared" si="2"/>
        <v>59.62</v>
      </c>
      <c r="H35" s="123">
        <f>ROUND(E35*G35,2)</f>
        <v>29810</v>
      </c>
      <c r="I35" s="91"/>
      <c r="J35" s="23"/>
      <c r="K35" s="22"/>
      <c r="L35" s="18"/>
      <c r="M35" s="105"/>
      <c r="P35" s="314"/>
      <c r="Q35" s="314"/>
      <c r="R35" s="314"/>
      <c r="S35" s="314"/>
      <c r="T35" s="314"/>
      <c r="U35" s="314"/>
      <c r="V35" s="314"/>
      <c r="W35" s="314"/>
      <c r="X35" s="309"/>
      <c r="Y35" s="309"/>
      <c r="Z35" s="323"/>
      <c r="AA35" s="309"/>
      <c r="AB35" s="309"/>
      <c r="AC35" s="309"/>
      <c r="AD35" s="103"/>
    </row>
    <row r="36" spans="1:30" ht="13.9" customHeight="1" x14ac:dyDescent="0.2">
      <c r="A36" s="129" t="s">
        <v>248</v>
      </c>
      <c r="B36" s="130" t="s">
        <v>51</v>
      </c>
      <c r="C36" s="138" t="s">
        <v>203</v>
      </c>
      <c r="D36" s="129" t="s">
        <v>144</v>
      </c>
      <c r="E36" s="125">
        <f>MEM!L33</f>
        <v>500</v>
      </c>
      <c r="F36" s="131">
        <v>56.33</v>
      </c>
      <c r="G36" s="123">
        <f t="shared" si="2"/>
        <v>71.239999999999995</v>
      </c>
      <c r="H36" s="123">
        <f>ROUND(E36*G36,2)</f>
        <v>35620</v>
      </c>
      <c r="I36" s="267">
        <f>ROUND(SUM(H35:H36),2)</f>
        <v>65430</v>
      </c>
      <c r="J36" s="23"/>
      <c r="K36" s="22"/>
      <c r="L36" s="18"/>
      <c r="M36" s="23"/>
      <c r="P36" s="22"/>
      <c r="Q36" s="18"/>
      <c r="R36" s="88"/>
      <c r="V36" s="104"/>
    </row>
    <row r="37" spans="1:30" ht="13.9" customHeight="1" x14ac:dyDescent="0.2">
      <c r="A37" s="127" t="s">
        <v>249</v>
      </c>
      <c r="B37" s="139"/>
      <c r="C37" s="135" t="s">
        <v>263</v>
      </c>
      <c r="D37" s="129"/>
      <c r="E37" s="125">
        <f>MEM!L34</f>
        <v>0</v>
      </c>
      <c r="F37" s="131">
        <v>0</v>
      </c>
      <c r="G37" s="123">
        <f t="shared" si="2"/>
        <v>0</v>
      </c>
      <c r="H37" s="123"/>
      <c r="I37" s="92"/>
      <c r="J37" s="23"/>
      <c r="K37" s="22"/>
      <c r="L37" s="18"/>
      <c r="M37" s="23"/>
      <c r="P37" s="22"/>
      <c r="Q37" s="18"/>
      <c r="R37" s="88"/>
    </row>
    <row r="38" spans="1:30" ht="24" customHeight="1" x14ac:dyDescent="0.2">
      <c r="A38" s="129" t="s">
        <v>250</v>
      </c>
      <c r="B38" s="130" t="s">
        <v>124</v>
      </c>
      <c r="C38" s="116" t="s">
        <v>125</v>
      </c>
      <c r="D38" s="133" t="s">
        <v>36</v>
      </c>
      <c r="E38" s="125">
        <f>MEM!L35</f>
        <v>20</v>
      </c>
      <c r="F38" s="131">
        <v>75.150000000000006</v>
      </c>
      <c r="G38" s="123">
        <f t="shared" si="2"/>
        <v>95.04</v>
      </c>
      <c r="H38" s="123">
        <f>ROUND(E38*G38,2)</f>
        <v>1900.8</v>
      </c>
      <c r="I38" s="92"/>
      <c r="J38" s="23"/>
      <c r="K38" s="22"/>
      <c r="L38" s="18"/>
      <c r="M38" s="23"/>
      <c r="P38" s="314"/>
      <c r="Q38" s="314"/>
      <c r="R38" s="314"/>
      <c r="S38" s="314"/>
      <c r="T38" s="314"/>
      <c r="U38" s="314"/>
      <c r="V38" s="314"/>
      <c r="W38" s="314"/>
      <c r="X38" s="309"/>
      <c r="Y38" s="309"/>
      <c r="Z38" s="323"/>
      <c r="AA38" s="309"/>
      <c r="AB38" s="309"/>
      <c r="AC38" s="309"/>
      <c r="AD38" s="102"/>
    </row>
    <row r="39" spans="1:30" ht="24" customHeight="1" x14ac:dyDescent="0.2">
      <c r="A39" s="129" t="s">
        <v>251</v>
      </c>
      <c r="B39" s="130" t="s">
        <v>123</v>
      </c>
      <c r="C39" s="116" t="s">
        <v>126</v>
      </c>
      <c r="D39" s="133" t="s">
        <v>47</v>
      </c>
      <c r="E39" s="125">
        <f>MEM!L36</f>
        <v>40</v>
      </c>
      <c r="F39" s="131">
        <v>162.62</v>
      </c>
      <c r="G39" s="123">
        <f t="shared" si="2"/>
        <v>205.67</v>
      </c>
      <c r="H39" s="123">
        <f>ROUND(E39*G39,2)</f>
        <v>8226.7999999999993</v>
      </c>
      <c r="I39" s="92"/>
      <c r="J39" s="23"/>
      <c r="K39" s="22"/>
      <c r="L39" s="18"/>
      <c r="M39" s="23"/>
      <c r="P39" s="22"/>
      <c r="Q39" s="18"/>
      <c r="R39" s="23"/>
    </row>
    <row r="40" spans="1:30" ht="13.9" customHeight="1" x14ac:dyDescent="0.2">
      <c r="A40" s="129" t="s">
        <v>252</v>
      </c>
      <c r="B40" s="130" t="s">
        <v>37</v>
      </c>
      <c r="C40" s="116" t="s">
        <v>34</v>
      </c>
      <c r="D40" s="133" t="s">
        <v>145</v>
      </c>
      <c r="E40" s="125">
        <f>MEM!L37</f>
        <v>104</v>
      </c>
      <c r="F40" s="131">
        <v>15.26</v>
      </c>
      <c r="G40" s="123">
        <f t="shared" si="2"/>
        <v>19.3</v>
      </c>
      <c r="H40" s="123">
        <f>ROUND(E40*G40,2)</f>
        <v>2007.2</v>
      </c>
      <c r="I40" s="92"/>
      <c r="J40" s="23"/>
      <c r="K40" s="22"/>
      <c r="L40" s="18"/>
      <c r="M40" s="23"/>
      <c r="P40" s="22"/>
      <c r="Q40" s="18"/>
      <c r="R40" s="23"/>
    </row>
    <row r="41" spans="1:30" ht="24" customHeight="1" x14ac:dyDescent="0.2">
      <c r="A41" s="129" t="s">
        <v>253</v>
      </c>
      <c r="B41" s="130" t="s">
        <v>46</v>
      </c>
      <c r="C41" s="116" t="s">
        <v>45</v>
      </c>
      <c r="D41" s="133" t="s">
        <v>147</v>
      </c>
      <c r="E41" s="125">
        <f>MEM!L38</f>
        <v>80</v>
      </c>
      <c r="F41" s="131">
        <v>287.52</v>
      </c>
      <c r="G41" s="123">
        <f>ROUND(F41*($H$7+1),2)</f>
        <v>363.63</v>
      </c>
      <c r="H41" s="123">
        <f>ROUND(E41*G41,2)</f>
        <v>29090.400000000001</v>
      </c>
      <c r="I41" s="92"/>
      <c r="J41" s="23"/>
      <c r="K41" s="22"/>
      <c r="L41" s="18"/>
      <c r="M41" s="23"/>
    </row>
    <row r="42" spans="1:30" ht="13.9" customHeight="1" x14ac:dyDescent="0.2">
      <c r="A42" s="129" t="s">
        <v>269</v>
      </c>
      <c r="B42" s="130" t="s">
        <v>38</v>
      </c>
      <c r="C42" s="116" t="s">
        <v>35</v>
      </c>
      <c r="D42" s="133" t="s">
        <v>144</v>
      </c>
      <c r="E42" s="125">
        <f>MEM!L39</f>
        <v>145.38999999999999</v>
      </c>
      <c r="F42" s="131">
        <v>50.57</v>
      </c>
      <c r="G42" s="123">
        <f>ROUND(F42*($H$7+1),2)</f>
        <v>63.96</v>
      </c>
      <c r="H42" s="123">
        <f>ROUND(E42*G42,2)</f>
        <v>9299.14</v>
      </c>
      <c r="I42" s="98"/>
      <c r="J42" s="23"/>
      <c r="K42" s="22"/>
      <c r="L42" s="18"/>
      <c r="M42" s="23"/>
    </row>
    <row r="43" spans="1:30" ht="24" customHeight="1" x14ac:dyDescent="0.2">
      <c r="A43" s="129" t="s">
        <v>294</v>
      </c>
      <c r="B43" s="130" t="s">
        <v>149</v>
      </c>
      <c r="C43" s="116" t="s">
        <v>165</v>
      </c>
      <c r="D43" s="133" t="s">
        <v>13</v>
      </c>
      <c r="E43" s="125">
        <f>MEM!L40</f>
        <v>20</v>
      </c>
      <c r="F43" s="131">
        <f>K47</f>
        <v>1765.5569999999998</v>
      </c>
      <c r="G43" s="123">
        <f t="shared" ref="G43:G48" si="7">ROUND(F43*($H$7+1),2)</f>
        <v>2232.9</v>
      </c>
      <c r="H43" s="123">
        <f t="shared" ref="H43:H48" si="8">ROUND(E43*G43,2)</f>
        <v>44658</v>
      </c>
      <c r="I43" s="98"/>
      <c r="J43" s="23"/>
      <c r="K43" s="106">
        <v>2140.2199999999998</v>
      </c>
      <c r="L43" s="107" t="s">
        <v>170</v>
      </c>
      <c r="M43" s="106" t="s">
        <v>171</v>
      </c>
    </row>
    <row r="44" spans="1:30" ht="24" customHeight="1" x14ac:dyDescent="0.2">
      <c r="A44" s="129" t="s">
        <v>295</v>
      </c>
      <c r="B44" s="133" t="s">
        <v>348</v>
      </c>
      <c r="C44" s="116" t="s">
        <v>349</v>
      </c>
      <c r="D44" s="133" t="s">
        <v>13</v>
      </c>
      <c r="E44" s="125">
        <f>MEM!L41</f>
        <v>60</v>
      </c>
      <c r="F44" s="131">
        <v>477.77</v>
      </c>
      <c r="G44" s="123">
        <f t="shared" ref="G44:G45" si="9">ROUND(F44*($H$7+1),2)</f>
        <v>604.24</v>
      </c>
      <c r="H44" s="123">
        <f t="shared" ref="H44:H45" si="10">ROUND(E44*G44,2)</f>
        <v>36254.400000000001</v>
      </c>
      <c r="I44" s="98"/>
      <c r="J44" s="23"/>
      <c r="K44" s="106"/>
      <c r="L44" s="107"/>
      <c r="M44" s="106"/>
    </row>
    <row r="45" spans="1:30" ht="13.9" customHeight="1" x14ac:dyDescent="0.2">
      <c r="A45" s="129" t="s">
        <v>295</v>
      </c>
      <c r="B45" s="130"/>
      <c r="C45" s="116" t="s">
        <v>166</v>
      </c>
      <c r="D45" s="133"/>
      <c r="E45" s="125">
        <f>MEM!L42</f>
        <v>0</v>
      </c>
      <c r="F45" s="131"/>
      <c r="G45" s="123">
        <f t="shared" si="9"/>
        <v>0</v>
      </c>
      <c r="H45" s="123">
        <f t="shared" si="10"/>
        <v>0</v>
      </c>
      <c r="I45" s="98"/>
      <c r="J45" s="23"/>
      <c r="K45" s="106">
        <f>222.7*0.9*0.9</f>
        <v>180.387</v>
      </c>
      <c r="L45" s="106" t="s">
        <v>172</v>
      </c>
      <c r="M45" s="106" t="s">
        <v>173</v>
      </c>
    </row>
    <row r="46" spans="1:30" ht="24" customHeight="1" x14ac:dyDescent="0.2">
      <c r="A46" s="129" t="s">
        <v>307</v>
      </c>
      <c r="B46" s="130" t="s">
        <v>167</v>
      </c>
      <c r="C46" s="116" t="s">
        <v>168</v>
      </c>
      <c r="D46" s="133" t="s">
        <v>144</v>
      </c>
      <c r="E46" s="125">
        <f>MEM!L43</f>
        <v>8.8000000000000007</v>
      </c>
      <c r="F46" s="140">
        <v>752.63</v>
      </c>
      <c r="G46" s="123">
        <f t="shared" si="7"/>
        <v>951.85</v>
      </c>
      <c r="H46" s="123">
        <f t="shared" si="8"/>
        <v>8376.2800000000007</v>
      </c>
      <c r="I46" s="98"/>
      <c r="J46" s="23"/>
      <c r="K46" s="106">
        <v>555.04999999999995</v>
      </c>
      <c r="L46" s="106" t="s">
        <v>174</v>
      </c>
      <c r="M46" s="106" t="s">
        <v>175</v>
      </c>
    </row>
    <row r="47" spans="1:30" ht="13.9" customHeight="1" x14ac:dyDescent="0.2">
      <c r="A47" s="129" t="s">
        <v>308</v>
      </c>
      <c r="B47" s="130" t="s">
        <v>131</v>
      </c>
      <c r="C47" s="116" t="s">
        <v>132</v>
      </c>
      <c r="D47" s="133" t="s">
        <v>145</v>
      </c>
      <c r="E47" s="125">
        <f>MEM!L44</f>
        <v>52.5</v>
      </c>
      <c r="F47" s="140">
        <v>60.64</v>
      </c>
      <c r="G47" s="123">
        <f t="shared" si="7"/>
        <v>76.69</v>
      </c>
      <c r="H47" s="123">
        <f t="shared" si="8"/>
        <v>4026.23</v>
      </c>
      <c r="I47" s="98"/>
      <c r="J47" s="23"/>
      <c r="K47" s="106">
        <f>K43-K46+K45</f>
        <v>1765.5569999999998</v>
      </c>
      <c r="L47" s="106"/>
      <c r="M47" s="106" t="s">
        <v>176</v>
      </c>
    </row>
    <row r="48" spans="1:30" ht="13.9" customHeight="1" x14ac:dyDescent="0.2">
      <c r="A48" s="129" t="s">
        <v>309</v>
      </c>
      <c r="B48" s="130" t="s">
        <v>169</v>
      </c>
      <c r="C48" s="116" t="s">
        <v>209</v>
      </c>
      <c r="D48" s="133" t="s">
        <v>144</v>
      </c>
      <c r="E48" s="125">
        <f>MEM!L45</f>
        <v>12.8</v>
      </c>
      <c r="F48" s="140">
        <v>587.78</v>
      </c>
      <c r="G48" s="123">
        <f t="shared" si="7"/>
        <v>743.37</v>
      </c>
      <c r="H48" s="123">
        <f t="shared" si="8"/>
        <v>9515.14</v>
      </c>
      <c r="I48" s="267">
        <f>ROUND(SUM(H38:H48),2)</f>
        <v>153354.39000000001</v>
      </c>
      <c r="J48" s="23"/>
      <c r="K48" s="22"/>
      <c r="L48" s="18"/>
      <c r="M48" s="23"/>
    </row>
    <row r="49" spans="1:13" ht="13.9" customHeight="1" x14ac:dyDescent="0.2">
      <c r="A49" s="127" t="s">
        <v>254</v>
      </c>
      <c r="B49" s="139"/>
      <c r="C49" s="135" t="s">
        <v>247</v>
      </c>
      <c r="D49" s="133"/>
      <c r="E49" s="125">
        <f>MEM!L46</f>
        <v>0</v>
      </c>
      <c r="F49" s="140"/>
      <c r="G49" s="123">
        <f t="shared" ref="G49:G54" si="11">ROUND(F49*($H$7+1),2)</f>
        <v>0</v>
      </c>
      <c r="H49" s="123">
        <f t="shared" ref="H49:H54" si="12">ROUND(E49*G49,2)</f>
        <v>0</v>
      </c>
      <c r="I49" s="98"/>
      <c r="J49" s="23"/>
      <c r="K49" s="22"/>
      <c r="L49" s="18"/>
      <c r="M49" s="23"/>
    </row>
    <row r="50" spans="1:13" ht="54" customHeight="1" x14ac:dyDescent="0.2">
      <c r="A50" s="129" t="s">
        <v>255</v>
      </c>
      <c r="B50" s="133" t="s">
        <v>270</v>
      </c>
      <c r="C50" s="116" t="s">
        <v>236</v>
      </c>
      <c r="D50" s="133" t="s">
        <v>145</v>
      </c>
      <c r="E50" s="125">
        <f>MEM!L47</f>
        <v>700</v>
      </c>
      <c r="F50" s="140">
        <f>19.28+13.14</f>
        <v>32.42</v>
      </c>
      <c r="G50" s="123">
        <f t="shared" si="11"/>
        <v>41</v>
      </c>
      <c r="H50" s="123">
        <f t="shared" si="12"/>
        <v>28700</v>
      </c>
      <c r="I50" s="98"/>
      <c r="J50" s="23"/>
      <c r="K50" s="293" t="s">
        <v>228</v>
      </c>
      <c r="L50" s="294">
        <v>19.28</v>
      </c>
      <c r="M50" s="23"/>
    </row>
    <row r="51" spans="1:13" ht="13.9" customHeight="1" x14ac:dyDescent="0.2">
      <c r="A51" s="129" t="s">
        <v>256</v>
      </c>
      <c r="B51" s="130" t="s">
        <v>229</v>
      </c>
      <c r="C51" s="116" t="s">
        <v>231</v>
      </c>
      <c r="D51" s="133" t="s">
        <v>147</v>
      </c>
      <c r="E51" s="125">
        <f>MEM!L48</f>
        <v>140</v>
      </c>
      <c r="F51" s="140">
        <v>2.29</v>
      </c>
      <c r="G51" s="123">
        <f t="shared" si="11"/>
        <v>2.9</v>
      </c>
      <c r="H51" s="123">
        <f t="shared" si="12"/>
        <v>406</v>
      </c>
      <c r="I51" s="98"/>
      <c r="J51" s="23"/>
      <c r="K51" s="295" t="s">
        <v>233</v>
      </c>
      <c r="L51" s="294">
        <f>30.9-17.76</f>
        <v>13.139999999999997</v>
      </c>
      <c r="M51" s="287" t="s">
        <v>235</v>
      </c>
    </row>
    <row r="52" spans="1:13" ht="13.9" customHeight="1" x14ac:dyDescent="0.2">
      <c r="A52" s="129" t="s">
        <v>257</v>
      </c>
      <c r="B52" s="130" t="s">
        <v>230</v>
      </c>
      <c r="C52" s="116" t="s">
        <v>232</v>
      </c>
      <c r="D52" s="133" t="s">
        <v>147</v>
      </c>
      <c r="E52" s="125">
        <f>MEM!L49</f>
        <v>70</v>
      </c>
      <c r="F52" s="140">
        <v>48.29</v>
      </c>
      <c r="G52" s="123">
        <f t="shared" si="11"/>
        <v>61.07</v>
      </c>
      <c r="H52" s="123">
        <f t="shared" si="12"/>
        <v>4274.8999999999996</v>
      </c>
      <c r="I52" s="98"/>
      <c r="J52" s="23"/>
    </row>
    <row r="53" spans="1:13" ht="13.9" customHeight="1" x14ac:dyDescent="0.2">
      <c r="A53" s="129" t="s">
        <v>296</v>
      </c>
      <c r="B53" s="130" t="s">
        <v>233</v>
      </c>
      <c r="C53" s="116" t="s">
        <v>234</v>
      </c>
      <c r="D53" s="133" t="s">
        <v>147</v>
      </c>
      <c r="E53" s="125">
        <f>MEM!L50</f>
        <v>70</v>
      </c>
      <c r="F53" s="140">
        <v>30.14</v>
      </c>
      <c r="G53" s="123">
        <f t="shared" ref="G53" si="13">ROUND(F53*($H$7+1),2)</f>
        <v>38.119999999999997</v>
      </c>
      <c r="H53" s="123">
        <f t="shared" ref="H53" si="14">ROUND(E53*G53,2)</f>
        <v>2668.4</v>
      </c>
      <c r="I53" s="267">
        <f>ROUND(SUM(H50:H53),2)</f>
        <v>36049.300000000003</v>
      </c>
      <c r="J53" s="23"/>
      <c r="K53" s="22"/>
      <c r="L53" s="18"/>
      <c r="M53" s="23"/>
    </row>
    <row r="54" spans="1:13" ht="13.9" customHeight="1" x14ac:dyDescent="0.2">
      <c r="A54" s="127" t="s">
        <v>258</v>
      </c>
      <c r="B54" s="139"/>
      <c r="C54" s="135" t="s">
        <v>351</v>
      </c>
      <c r="D54" s="133"/>
      <c r="E54" s="125">
        <f>MEM!L51</f>
        <v>0</v>
      </c>
      <c r="F54" s="131"/>
      <c r="G54" s="123">
        <f t="shared" si="11"/>
        <v>0</v>
      </c>
      <c r="H54" s="123">
        <f t="shared" si="12"/>
        <v>0</v>
      </c>
      <c r="I54" s="92"/>
      <c r="J54" s="23"/>
      <c r="K54" s="99"/>
      <c r="L54" s="99"/>
      <c r="M54" s="99"/>
    </row>
    <row r="55" spans="1:13" ht="13.9" customHeight="1" x14ac:dyDescent="0.2">
      <c r="A55" s="129" t="s">
        <v>259</v>
      </c>
      <c r="B55" s="130" t="s">
        <v>50</v>
      </c>
      <c r="C55" s="138" t="s">
        <v>221</v>
      </c>
      <c r="D55" s="129" t="s">
        <v>144</v>
      </c>
      <c r="E55" s="125">
        <f>MEM!L52</f>
        <v>25</v>
      </c>
      <c r="F55" s="131">
        <v>47.14</v>
      </c>
      <c r="G55" s="123">
        <f>ROUND(F55*($H$7+1),2)</f>
        <v>59.62</v>
      </c>
      <c r="H55" s="123">
        <f>ROUND(E55*G55,2)</f>
        <v>1490.5</v>
      </c>
      <c r="I55" s="92"/>
      <c r="J55" s="23"/>
      <c r="K55" s="99"/>
      <c r="L55" s="99"/>
      <c r="M55" s="99"/>
    </row>
    <row r="56" spans="1:13" ht="13.9" customHeight="1" x14ac:dyDescent="0.2">
      <c r="A56" s="129" t="s">
        <v>260</v>
      </c>
      <c r="B56" s="130" t="s">
        <v>51</v>
      </c>
      <c r="C56" s="138" t="s">
        <v>203</v>
      </c>
      <c r="D56" s="129" t="s">
        <v>144</v>
      </c>
      <c r="E56" s="125">
        <f>MEM!L53</f>
        <v>25</v>
      </c>
      <c r="F56" s="131">
        <v>56.33</v>
      </c>
      <c r="G56" s="123">
        <f>ROUND(F56*($H$7+1),2)</f>
        <v>71.239999999999995</v>
      </c>
      <c r="H56" s="123">
        <f>ROUND(E56*G56,2)</f>
        <v>1781</v>
      </c>
      <c r="I56" s="92"/>
      <c r="J56" s="23"/>
      <c r="K56" s="99"/>
      <c r="L56" s="99"/>
      <c r="M56" s="99"/>
    </row>
    <row r="57" spans="1:13" ht="13.9" customHeight="1" x14ac:dyDescent="0.2">
      <c r="A57" s="129" t="s">
        <v>261</v>
      </c>
      <c r="B57" s="130" t="s">
        <v>201</v>
      </c>
      <c r="C57" s="116" t="s">
        <v>202</v>
      </c>
      <c r="D57" s="133" t="s">
        <v>145</v>
      </c>
      <c r="E57" s="125">
        <f>MEM!L54</f>
        <v>50</v>
      </c>
      <c r="F57" s="131">
        <v>71.92</v>
      </c>
      <c r="G57" s="123">
        <f>ROUND(F57*($H$7+1),2)</f>
        <v>90.96</v>
      </c>
      <c r="H57" s="123">
        <f>ROUND(E57*G57,2)</f>
        <v>4548</v>
      </c>
      <c r="I57" s="267">
        <f>ROUND(SUM(H55:H57),2)</f>
        <v>7819.5</v>
      </c>
      <c r="J57" s="23"/>
      <c r="K57" s="99"/>
      <c r="L57" s="99"/>
      <c r="M57" s="99"/>
    </row>
    <row r="58" spans="1:13" ht="13.9" customHeight="1" x14ac:dyDescent="0.2">
      <c r="A58" s="127" t="s">
        <v>297</v>
      </c>
      <c r="B58" s="139"/>
      <c r="C58" s="135" t="s">
        <v>321</v>
      </c>
      <c r="D58" s="133"/>
      <c r="E58" s="125">
        <f>MEM!L55</f>
        <v>0</v>
      </c>
      <c r="F58" s="131"/>
      <c r="G58" s="123">
        <f t="shared" ref="G58" si="15">ROUND(F58*($H$7+1),2)</f>
        <v>0</v>
      </c>
      <c r="H58" s="123">
        <f t="shared" ref="H58" si="16">ROUND(E58*G58,2)</f>
        <v>0</v>
      </c>
      <c r="I58" s="92"/>
      <c r="J58" s="23"/>
      <c r="K58" s="99"/>
      <c r="L58" s="99"/>
      <c r="M58" s="99"/>
    </row>
    <row r="59" spans="1:13" ht="24" customHeight="1" x14ac:dyDescent="0.2">
      <c r="A59" s="129" t="s">
        <v>298</v>
      </c>
      <c r="B59" s="130" t="s">
        <v>124</v>
      </c>
      <c r="C59" s="116" t="s">
        <v>155</v>
      </c>
      <c r="D59" s="133" t="s">
        <v>36</v>
      </c>
      <c r="E59" s="125">
        <f>MEM!L56</f>
        <v>240</v>
      </c>
      <c r="F59" s="131">
        <v>74.239999999999995</v>
      </c>
      <c r="G59" s="123">
        <f>ROUND(F59*($H$7+1),2)</f>
        <v>93.89</v>
      </c>
      <c r="H59" s="123">
        <f>ROUND(E59*G59,2)</f>
        <v>22533.599999999999</v>
      </c>
      <c r="I59" s="92"/>
      <c r="J59" s="23"/>
      <c r="K59" s="99"/>
      <c r="L59" s="99"/>
      <c r="M59" s="99"/>
    </row>
    <row r="60" spans="1:13" ht="24" customHeight="1" x14ac:dyDescent="0.2">
      <c r="A60" s="129" t="s">
        <v>299</v>
      </c>
      <c r="B60" s="130" t="s">
        <v>123</v>
      </c>
      <c r="C60" s="116" t="s">
        <v>271</v>
      </c>
      <c r="D60" s="133" t="s">
        <v>47</v>
      </c>
      <c r="E60" s="125">
        <f>MEM!L57</f>
        <v>720</v>
      </c>
      <c r="F60" s="131">
        <v>159.11000000000001</v>
      </c>
      <c r="G60" s="123">
        <f>ROUND(F60*($H$7+1),2)</f>
        <v>201.23</v>
      </c>
      <c r="H60" s="123">
        <f>ROUND(E60*G60,2)</f>
        <v>144885.6</v>
      </c>
      <c r="J60" s="23"/>
      <c r="K60" s="99"/>
      <c r="L60" s="99"/>
      <c r="M60" s="99"/>
    </row>
    <row r="61" spans="1:13" ht="24" customHeight="1" x14ac:dyDescent="0.2">
      <c r="A61" s="129" t="s">
        <v>300</v>
      </c>
      <c r="B61" s="130" t="s">
        <v>272</v>
      </c>
      <c r="C61" s="116" t="s">
        <v>274</v>
      </c>
      <c r="D61" s="133" t="s">
        <v>144</v>
      </c>
      <c r="E61" s="125">
        <f>MEM!L58</f>
        <v>300</v>
      </c>
      <c r="F61" s="131">
        <v>27.9</v>
      </c>
      <c r="G61" s="123">
        <f t="shared" ref="G61:G67" si="17">ROUND(F61*($H$7+1),2)</f>
        <v>35.29</v>
      </c>
      <c r="H61" s="123">
        <f t="shared" ref="H61:H67" si="18">ROUND(E61*G61,2)</f>
        <v>10587</v>
      </c>
      <c r="I61" s="98"/>
      <c r="J61" s="23"/>
      <c r="K61" s="99"/>
      <c r="L61" s="99"/>
      <c r="M61" s="99"/>
    </row>
    <row r="62" spans="1:13" ht="24" customHeight="1" x14ac:dyDescent="0.2">
      <c r="A62" s="129" t="s">
        <v>301</v>
      </c>
      <c r="B62" s="130" t="s">
        <v>273</v>
      </c>
      <c r="C62" s="116" t="s">
        <v>275</v>
      </c>
      <c r="D62" s="133" t="s">
        <v>158</v>
      </c>
      <c r="E62" s="125">
        <f>MEM!L59</f>
        <v>600</v>
      </c>
      <c r="F62" s="131">
        <v>4.1500000000000004</v>
      </c>
      <c r="G62" s="123">
        <f t="shared" si="17"/>
        <v>5.25</v>
      </c>
      <c r="H62" s="123">
        <f t="shared" si="18"/>
        <v>3150</v>
      </c>
      <c r="I62" s="98"/>
      <c r="J62" s="23"/>
      <c r="K62" s="99"/>
      <c r="L62" s="99"/>
      <c r="M62" s="99"/>
    </row>
    <row r="63" spans="1:13" ht="13.9" customHeight="1" x14ac:dyDescent="0.2">
      <c r="A63" s="129" t="s">
        <v>302</v>
      </c>
      <c r="B63" s="130" t="s">
        <v>50</v>
      </c>
      <c r="C63" s="138" t="s">
        <v>221</v>
      </c>
      <c r="D63" s="129" t="s">
        <v>144</v>
      </c>
      <c r="E63" s="125">
        <f>MEM!L60</f>
        <v>200</v>
      </c>
      <c r="F63" s="131">
        <v>47.14</v>
      </c>
      <c r="G63" s="123">
        <f t="shared" si="17"/>
        <v>59.62</v>
      </c>
      <c r="H63" s="123">
        <f t="shared" si="18"/>
        <v>11924</v>
      </c>
      <c r="I63" s="98"/>
      <c r="J63" s="23"/>
      <c r="K63" s="99"/>
      <c r="L63" s="99"/>
      <c r="M63" s="99"/>
    </row>
    <row r="64" spans="1:13" ht="13.9" customHeight="1" x14ac:dyDescent="0.2">
      <c r="A64" s="129" t="s">
        <v>303</v>
      </c>
      <c r="B64" s="130" t="s">
        <v>276</v>
      </c>
      <c r="C64" s="116" t="s">
        <v>322</v>
      </c>
      <c r="D64" s="133" t="s">
        <v>144</v>
      </c>
      <c r="E64" s="125">
        <f>MEM!L61</f>
        <v>14.399999999999999</v>
      </c>
      <c r="F64" s="131">
        <v>46.75</v>
      </c>
      <c r="G64" s="123">
        <f t="shared" si="17"/>
        <v>59.12</v>
      </c>
      <c r="H64" s="123">
        <f t="shared" si="18"/>
        <v>851.33</v>
      </c>
      <c r="I64" s="98"/>
      <c r="J64" s="23"/>
      <c r="K64" s="99"/>
      <c r="L64" s="99"/>
      <c r="M64" s="99"/>
    </row>
    <row r="65" spans="1:13" ht="13.9" customHeight="1" x14ac:dyDescent="0.2">
      <c r="A65" s="129" t="s">
        <v>304</v>
      </c>
      <c r="B65" s="130" t="s">
        <v>277</v>
      </c>
      <c r="C65" s="116" t="s">
        <v>278</v>
      </c>
      <c r="D65" s="133" t="s">
        <v>145</v>
      </c>
      <c r="E65" s="125">
        <f>MEM!L62</f>
        <v>1500</v>
      </c>
      <c r="F65" s="131">
        <v>1.57</v>
      </c>
      <c r="G65" s="123">
        <f t="shared" si="17"/>
        <v>1.99</v>
      </c>
      <c r="H65" s="123">
        <f t="shared" si="18"/>
        <v>2985</v>
      </c>
      <c r="I65" s="98"/>
      <c r="J65" s="23"/>
      <c r="K65" s="99"/>
      <c r="L65" s="99"/>
      <c r="M65" s="99"/>
    </row>
    <row r="66" spans="1:13" ht="24" customHeight="1" x14ac:dyDescent="0.2">
      <c r="A66" s="129" t="s">
        <v>305</v>
      </c>
      <c r="B66" s="130" t="s">
        <v>279</v>
      </c>
      <c r="C66" s="116" t="s">
        <v>282</v>
      </c>
      <c r="D66" s="133" t="s">
        <v>13</v>
      </c>
      <c r="E66" s="125">
        <f>MEM!L63</f>
        <v>20</v>
      </c>
      <c r="F66" s="131">
        <v>108.54</v>
      </c>
      <c r="G66" s="123">
        <f t="shared" si="17"/>
        <v>137.27000000000001</v>
      </c>
      <c r="H66" s="123">
        <f t="shared" si="18"/>
        <v>2745.4</v>
      </c>
      <c r="I66" s="98"/>
      <c r="J66" s="23"/>
      <c r="K66" s="99"/>
      <c r="L66" s="99"/>
      <c r="M66" s="99"/>
    </row>
    <row r="67" spans="1:13" ht="24" customHeight="1" x14ac:dyDescent="0.2">
      <c r="A67" s="129" t="s">
        <v>306</v>
      </c>
      <c r="B67" s="130" t="s">
        <v>280</v>
      </c>
      <c r="C67" s="116" t="s">
        <v>281</v>
      </c>
      <c r="D67" s="133" t="s">
        <v>13</v>
      </c>
      <c r="E67" s="125">
        <f>MEM!L64</f>
        <v>50</v>
      </c>
      <c r="F67" s="131">
        <v>65.12</v>
      </c>
      <c r="G67" s="123">
        <f t="shared" si="17"/>
        <v>82.36</v>
      </c>
      <c r="H67" s="123">
        <f t="shared" si="18"/>
        <v>4118</v>
      </c>
      <c r="I67" s="298">
        <f>ROUND(SUM(H59:H67),2)</f>
        <v>203779.93</v>
      </c>
      <c r="J67" s="23"/>
      <c r="K67" s="99"/>
      <c r="L67" s="99"/>
      <c r="M67" s="99"/>
    </row>
    <row r="68" spans="1:13" ht="13.9" customHeight="1" x14ac:dyDescent="0.2">
      <c r="A68" s="127" t="s">
        <v>353</v>
      </c>
      <c r="B68" s="139"/>
      <c r="C68" s="135" t="s">
        <v>384</v>
      </c>
      <c r="D68" s="133"/>
      <c r="E68" s="125">
        <f>MEM!L65</f>
        <v>0</v>
      </c>
      <c r="F68" s="131"/>
      <c r="G68" s="123">
        <f t="shared" ref="G68" si="19">ROUND(F68*($H$7+1),2)</f>
        <v>0</v>
      </c>
      <c r="H68" s="123">
        <f t="shared" ref="H68" si="20">ROUND(E68*G68,2)</f>
        <v>0</v>
      </c>
      <c r="I68" s="98"/>
      <c r="J68" s="23"/>
      <c r="K68" s="99"/>
      <c r="L68" s="99"/>
      <c r="M68" s="99"/>
    </row>
    <row r="69" spans="1:13" ht="24" customHeight="1" x14ac:dyDescent="0.2">
      <c r="A69" s="129" t="s">
        <v>352</v>
      </c>
      <c r="B69" s="130" t="s">
        <v>124</v>
      </c>
      <c r="C69" s="116" t="s">
        <v>155</v>
      </c>
      <c r="D69" s="133" t="s">
        <v>36</v>
      </c>
      <c r="E69" s="125">
        <f>MEM!L66</f>
        <v>96</v>
      </c>
      <c r="F69" s="131">
        <v>74.239999999999995</v>
      </c>
      <c r="G69" s="123">
        <f t="shared" ref="G69:G76" si="21">ROUND(F69*($H$7+1),2)</f>
        <v>93.89</v>
      </c>
      <c r="H69" s="123">
        <f t="shared" ref="H69:H76" si="22">ROUND(E69*G69,2)</f>
        <v>9013.44</v>
      </c>
      <c r="I69" s="98"/>
      <c r="J69" s="23"/>
      <c r="K69" s="99"/>
      <c r="L69" s="99"/>
      <c r="M69" s="99"/>
    </row>
    <row r="70" spans="1:13" ht="24" customHeight="1" x14ac:dyDescent="0.2">
      <c r="A70" s="129" t="s">
        <v>354</v>
      </c>
      <c r="B70" s="130" t="s">
        <v>123</v>
      </c>
      <c r="C70" s="116" t="s">
        <v>271</v>
      </c>
      <c r="D70" s="133" t="s">
        <v>47</v>
      </c>
      <c r="E70" s="125">
        <f>MEM!L67</f>
        <v>192</v>
      </c>
      <c r="F70" s="131">
        <v>159.11000000000001</v>
      </c>
      <c r="G70" s="123">
        <f t="shared" si="21"/>
        <v>201.23</v>
      </c>
      <c r="H70" s="123">
        <f t="shared" si="22"/>
        <v>38636.160000000003</v>
      </c>
      <c r="I70" s="98"/>
      <c r="J70" s="23"/>
      <c r="K70" s="99"/>
      <c r="L70" s="99"/>
      <c r="M70" s="99"/>
    </row>
    <row r="71" spans="1:13" ht="13.9" customHeight="1" x14ac:dyDescent="0.2">
      <c r="A71" s="129" t="s">
        <v>355</v>
      </c>
      <c r="B71" s="130" t="s">
        <v>370</v>
      </c>
      <c r="C71" s="116" t="s">
        <v>374</v>
      </c>
      <c r="D71" s="133" t="s">
        <v>365</v>
      </c>
      <c r="E71" s="125">
        <f>MEM!L68</f>
        <v>100</v>
      </c>
      <c r="F71" s="131">
        <v>80.459999999999994</v>
      </c>
      <c r="G71" s="123">
        <f t="shared" si="21"/>
        <v>101.76</v>
      </c>
      <c r="H71" s="123">
        <f t="shared" si="22"/>
        <v>10176</v>
      </c>
      <c r="I71" s="98"/>
      <c r="J71" s="23"/>
      <c r="K71" s="99"/>
      <c r="L71" s="99"/>
      <c r="M71" s="99"/>
    </row>
    <row r="72" spans="1:13" ht="13.9" customHeight="1" x14ac:dyDescent="0.2">
      <c r="A72" s="129" t="s">
        <v>356</v>
      </c>
      <c r="B72" s="130" t="s">
        <v>38</v>
      </c>
      <c r="C72" s="116" t="s">
        <v>371</v>
      </c>
      <c r="D72" s="133" t="s">
        <v>365</v>
      </c>
      <c r="E72" s="125">
        <f>MEM!L69</f>
        <v>100</v>
      </c>
      <c r="F72" s="131">
        <v>50.57</v>
      </c>
      <c r="G72" s="123">
        <f t="shared" si="21"/>
        <v>63.96</v>
      </c>
      <c r="H72" s="123">
        <f t="shared" si="22"/>
        <v>6396</v>
      </c>
      <c r="I72" s="98"/>
      <c r="J72" s="23"/>
      <c r="K72" s="99"/>
      <c r="L72" s="99"/>
      <c r="M72" s="99"/>
    </row>
    <row r="73" spans="1:13" ht="13.9" customHeight="1" x14ac:dyDescent="0.2">
      <c r="A73" s="129" t="s">
        <v>368</v>
      </c>
      <c r="B73" s="130" t="s">
        <v>357</v>
      </c>
      <c r="C73" s="116" t="s">
        <v>358</v>
      </c>
      <c r="D73" s="133" t="s">
        <v>359</v>
      </c>
      <c r="E73" s="125">
        <f>MEM!L70</f>
        <v>200</v>
      </c>
      <c r="F73" s="131">
        <v>78.150000000000006</v>
      </c>
      <c r="G73" s="123">
        <f t="shared" si="21"/>
        <v>98.84</v>
      </c>
      <c r="H73" s="123">
        <f t="shared" si="22"/>
        <v>19768</v>
      </c>
      <c r="I73" s="98"/>
      <c r="J73" s="23"/>
      <c r="K73" s="99"/>
      <c r="L73" s="99"/>
      <c r="M73" s="99"/>
    </row>
    <row r="74" spans="1:13" ht="13.9" customHeight="1" x14ac:dyDescent="0.2">
      <c r="A74" s="129" t="s">
        <v>369</v>
      </c>
      <c r="B74" s="130" t="s">
        <v>360</v>
      </c>
      <c r="C74" s="116" t="s">
        <v>361</v>
      </c>
      <c r="D74" s="133" t="s">
        <v>362</v>
      </c>
      <c r="E74" s="125">
        <f>MEM!L71</f>
        <v>4000</v>
      </c>
      <c r="F74" s="131">
        <v>13.38</v>
      </c>
      <c r="G74" s="123">
        <f t="shared" si="21"/>
        <v>16.920000000000002</v>
      </c>
      <c r="H74" s="123">
        <f t="shared" si="22"/>
        <v>67680</v>
      </c>
      <c r="I74" s="98"/>
      <c r="J74" s="23"/>
      <c r="K74" s="99"/>
      <c r="L74" s="99"/>
      <c r="M74" s="99"/>
    </row>
    <row r="75" spans="1:13" ht="13.9" customHeight="1" x14ac:dyDescent="0.2">
      <c r="A75" s="129" t="s">
        <v>375</v>
      </c>
      <c r="B75" s="130" t="s">
        <v>363</v>
      </c>
      <c r="C75" s="116" t="s">
        <v>364</v>
      </c>
      <c r="D75" s="133" t="s">
        <v>365</v>
      </c>
      <c r="E75" s="125">
        <f>MEM!L72</f>
        <v>40</v>
      </c>
      <c r="F75" s="131">
        <v>647.83000000000004</v>
      </c>
      <c r="G75" s="123">
        <f t="shared" si="21"/>
        <v>819.31</v>
      </c>
      <c r="H75" s="123">
        <f t="shared" si="22"/>
        <v>32772.400000000001</v>
      </c>
      <c r="I75" s="98"/>
      <c r="J75" s="23"/>
      <c r="K75" s="99"/>
      <c r="L75" s="99"/>
      <c r="M75" s="99"/>
    </row>
    <row r="76" spans="1:13" ht="13.9" customHeight="1" x14ac:dyDescent="0.2">
      <c r="A76" s="129" t="s">
        <v>376</v>
      </c>
      <c r="B76" s="130" t="s">
        <v>366</v>
      </c>
      <c r="C76" s="116" t="s">
        <v>367</v>
      </c>
      <c r="D76" s="133" t="s">
        <v>359</v>
      </c>
      <c r="E76" s="125">
        <f>MEM!L73</f>
        <v>150</v>
      </c>
      <c r="F76" s="131">
        <v>219.83</v>
      </c>
      <c r="G76" s="123">
        <f t="shared" si="21"/>
        <v>278.02</v>
      </c>
      <c r="H76" s="123">
        <f t="shared" si="22"/>
        <v>41703</v>
      </c>
      <c r="I76" s="298">
        <f>ROUND(SUM(H69:H76),2)</f>
        <v>226145</v>
      </c>
      <c r="J76" s="23"/>
      <c r="K76" s="99"/>
      <c r="L76" s="99"/>
      <c r="M76" s="99"/>
    </row>
    <row r="77" spans="1:13" ht="12.75" customHeight="1" x14ac:dyDescent="0.2">
      <c r="A77" s="311" t="s">
        <v>28</v>
      </c>
      <c r="B77" s="312"/>
      <c r="C77" s="312"/>
      <c r="D77" s="312"/>
      <c r="E77" s="312"/>
      <c r="F77" s="312"/>
      <c r="G77" s="313"/>
      <c r="H77" s="117">
        <f>ROUND(SUM(H10:H76),2)</f>
        <v>1777071.06</v>
      </c>
      <c r="I77" s="308">
        <f>SUM(I8:I76)</f>
        <v>1777071.06</v>
      </c>
      <c r="J77" s="93">
        <f>I77-H77</f>
        <v>0</v>
      </c>
    </row>
    <row r="78" spans="1:13" ht="12.75" customHeight="1" x14ac:dyDescent="0.2">
      <c r="A78" s="269"/>
      <c r="B78" s="270"/>
      <c r="C78" s="270"/>
      <c r="D78" s="270"/>
      <c r="E78" s="270"/>
      <c r="F78" s="270"/>
      <c r="G78" s="270"/>
      <c r="H78" s="271"/>
      <c r="I78" s="4"/>
      <c r="J78" s="99"/>
      <c r="K78" s="99"/>
    </row>
    <row r="79" spans="1:13" ht="12.75" customHeight="1" x14ac:dyDescent="0.2">
      <c r="A79" s="272"/>
      <c r="B79" s="317" t="s">
        <v>12</v>
      </c>
      <c r="C79" s="317"/>
      <c r="D79" s="273"/>
      <c r="E79" s="316" t="s">
        <v>137</v>
      </c>
      <c r="F79" s="316"/>
      <c r="G79" s="274"/>
      <c r="H79" s="275"/>
      <c r="I79" s="4"/>
    </row>
    <row r="80" spans="1:13" ht="12.75" customHeight="1" x14ac:dyDescent="0.2">
      <c r="A80" s="276"/>
      <c r="B80" s="315" t="s">
        <v>7</v>
      </c>
      <c r="C80" s="315"/>
      <c r="D80" s="273"/>
      <c r="E80" s="310" t="s">
        <v>5</v>
      </c>
      <c r="F80" s="310"/>
      <c r="G80" s="3"/>
      <c r="H80" s="277"/>
      <c r="J80" s="3"/>
      <c r="K80" s="3"/>
    </row>
    <row r="81" spans="1:10" ht="12.75" customHeight="1" x14ac:dyDescent="0.2">
      <c r="A81" s="272"/>
      <c r="B81" s="319"/>
      <c r="C81" s="319"/>
      <c r="D81" s="273"/>
      <c r="E81" s="310"/>
      <c r="F81" s="310"/>
      <c r="G81" s="274"/>
      <c r="H81" s="278"/>
      <c r="I81" s="4"/>
    </row>
    <row r="82" spans="1:10" ht="12.75" customHeight="1" x14ac:dyDescent="0.2">
      <c r="A82" s="279"/>
      <c r="B82" s="318" t="s">
        <v>8</v>
      </c>
      <c r="C82" s="318"/>
      <c r="D82" s="280"/>
      <c r="E82" s="319"/>
      <c r="F82" s="319"/>
      <c r="G82" s="281"/>
      <c r="H82" s="282"/>
      <c r="I82" s="17"/>
      <c r="J82" s="18"/>
    </row>
    <row r="83" spans="1:10" ht="12.75" customHeight="1" x14ac:dyDescent="0.2">
      <c r="H83" s="16"/>
      <c r="I83" s="17"/>
    </row>
    <row r="84" spans="1:10" ht="12.75" customHeight="1" x14ac:dyDescent="0.2">
      <c r="C84" s="30"/>
      <c r="H84" s="16"/>
      <c r="I84" s="17"/>
    </row>
    <row r="85" spans="1:10" ht="12.75" customHeight="1" x14ac:dyDescent="0.2">
      <c r="I85" s="4"/>
    </row>
  </sheetData>
  <mergeCells count="36">
    <mergeCell ref="Z22:AC22"/>
    <mergeCell ref="A2:H2"/>
    <mergeCell ref="E6:F6"/>
    <mergeCell ref="E7:F7"/>
    <mergeCell ref="P21:T21"/>
    <mergeCell ref="U21:W21"/>
    <mergeCell ref="G5:H5"/>
    <mergeCell ref="U22:W22"/>
    <mergeCell ref="X22:Y22"/>
    <mergeCell ref="A3:G3"/>
    <mergeCell ref="A4:G4"/>
    <mergeCell ref="A7:B7"/>
    <mergeCell ref="B82:C82"/>
    <mergeCell ref="E82:F82"/>
    <mergeCell ref="B81:C81"/>
    <mergeCell ref="A1:H1"/>
    <mergeCell ref="Z35:AC35"/>
    <mergeCell ref="P38:T38"/>
    <mergeCell ref="U38:W38"/>
    <mergeCell ref="X38:Y38"/>
    <mergeCell ref="Z38:AC38"/>
    <mergeCell ref="Z21:AC21"/>
    <mergeCell ref="P22:T22"/>
    <mergeCell ref="A6:D6"/>
    <mergeCell ref="A5:D5"/>
    <mergeCell ref="E5:F5"/>
    <mergeCell ref="X21:Y21"/>
    <mergeCell ref="U35:W35"/>
    <mergeCell ref="X35:Y35"/>
    <mergeCell ref="E81:F81"/>
    <mergeCell ref="A77:G77"/>
    <mergeCell ref="P35:T35"/>
    <mergeCell ref="B80:C80"/>
    <mergeCell ref="E80:F80"/>
    <mergeCell ref="E79:F79"/>
    <mergeCell ref="B79:C79"/>
  </mergeCells>
  <phoneticPr fontId="2" type="noConversion"/>
  <pageMargins left="0.39370078740157483" right="0.19685039370078741" top="0.19685039370078741" bottom="0.19685039370078741" header="0" footer="0"/>
  <pageSetup paperSize="9" scale="74" orientation="landscape" r:id="rId1"/>
  <headerFooter scaleWithDoc="0" alignWithMargins="0">
    <oddFooter>&amp;C&amp;8Página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10DF7-4141-46A3-A676-CF1C93928A6B}">
  <sheetPr codeName="Planilha5"/>
  <dimension ref="A1:M66"/>
  <sheetViews>
    <sheetView showGridLines="0" showZeros="0" view="pageBreakPreview" zoomScaleNormal="75" zoomScaleSheetLayoutView="100" workbookViewId="0">
      <pane ySplit="5" topLeftCell="A6" activePane="bottomLeft" state="frozen"/>
      <selection pane="bottomLeft" activeCell="A27" sqref="A27:A30"/>
    </sheetView>
  </sheetViews>
  <sheetFormatPr defaultColWidth="9.140625" defaultRowHeight="12.75" x14ac:dyDescent="0.2"/>
  <cols>
    <col min="1" max="1" width="10.5703125" style="5" customWidth="1"/>
    <col min="2" max="2" width="10.28515625" style="5" customWidth="1"/>
    <col min="3" max="3" width="40.5703125" style="5" customWidth="1"/>
    <col min="4" max="5" width="14.7109375" style="6" customWidth="1"/>
    <col min="6" max="11" width="14.7109375" style="5" customWidth="1"/>
    <col min="12" max="12" width="11.42578125" style="5" customWidth="1"/>
    <col min="13" max="13" width="11.7109375" style="5" customWidth="1"/>
    <col min="14" max="16384" width="9.140625" style="5"/>
  </cols>
  <sheetData>
    <row r="1" spans="1:13" x14ac:dyDescent="0.2">
      <c r="F1" s="96">
        <f t="shared" ref="F1:K1" si="0">F55</f>
        <v>8.0600000000000005E-2</v>
      </c>
      <c r="G1" s="96">
        <f t="shared" si="0"/>
        <v>0.08</v>
      </c>
      <c r="H1" s="96">
        <f t="shared" si="0"/>
        <v>0.08</v>
      </c>
      <c r="I1" s="96">
        <f t="shared" si="0"/>
        <v>0.08</v>
      </c>
      <c r="J1" s="96">
        <f t="shared" si="0"/>
        <v>0.08</v>
      </c>
      <c r="K1" s="96">
        <f t="shared" si="0"/>
        <v>0.08</v>
      </c>
    </row>
    <row r="2" spans="1:13" ht="54.6" customHeight="1" x14ac:dyDescent="0.2">
      <c r="A2" s="385"/>
      <c r="B2" s="386"/>
      <c r="C2" s="386"/>
      <c r="D2" s="386"/>
      <c r="E2" s="386"/>
      <c r="F2" s="386"/>
      <c r="G2" s="386"/>
      <c r="H2" s="386"/>
      <c r="I2" s="386"/>
      <c r="J2" s="386"/>
      <c r="K2" s="387"/>
    </row>
    <row r="3" spans="1:13" s="7" customFormat="1" ht="14.1" customHeight="1" x14ac:dyDescent="0.2">
      <c r="A3" s="413" t="s">
        <v>15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200"/>
      <c r="M3" s="200"/>
    </row>
    <row r="4" spans="1:13" s="7" customFormat="1" ht="14.1" customHeight="1" x14ac:dyDescent="0.2">
      <c r="A4" s="414" t="s">
        <v>25</v>
      </c>
      <c r="B4" s="415"/>
      <c r="C4" s="416"/>
      <c r="D4" s="248" t="s">
        <v>27</v>
      </c>
      <c r="E4" s="249">
        <f>PLAN!H77</f>
        <v>1777071.06</v>
      </c>
      <c r="F4" s="249"/>
      <c r="G4" s="250"/>
      <c r="H4" s="251"/>
      <c r="I4" s="417" t="str">
        <f>PLAN!H4</f>
        <v>DATA: 02/09/26</v>
      </c>
      <c r="J4" s="417"/>
      <c r="K4" s="417"/>
      <c r="L4" s="200"/>
      <c r="M4" s="200"/>
    </row>
    <row r="5" spans="1:13" s="7" customFormat="1" ht="13.9" customHeight="1" x14ac:dyDescent="0.2">
      <c r="A5" s="418" t="str">
        <f>PLAN!A4</f>
        <v>OBRA: SISTEMA DE REGISTRO DE PREÇOS P/ EXECUÇÃO DE SERVIÇOS DIVERSOS DE ENGENHARIA</v>
      </c>
      <c r="B5" s="419"/>
      <c r="C5" s="420"/>
      <c r="D5" s="421" t="str">
        <f>PLAN!A5</f>
        <v>LOCAL: VIAS PÚBLICAS DIVERSAS DO MUNICÍPIO DE SANTA CRUZ DO ESCALVADO (MG)</v>
      </c>
      <c r="E5" s="421"/>
      <c r="F5" s="421"/>
      <c r="G5" s="421"/>
      <c r="H5" s="421"/>
      <c r="I5" s="262" t="str">
        <f>PLAN!A7</f>
        <v xml:space="preserve">PRAZO EXECUÇÃO:  </v>
      </c>
      <c r="J5" s="263" t="str">
        <f>PLAN!C7</f>
        <v>12 (doze) meses</v>
      </c>
      <c r="K5" s="264"/>
      <c r="L5" s="200"/>
      <c r="M5" s="200"/>
    </row>
    <row r="6" spans="1:13" ht="27" customHeight="1" x14ac:dyDescent="0.2">
      <c r="A6" s="187" t="s">
        <v>0</v>
      </c>
      <c r="B6" s="187" t="s">
        <v>3</v>
      </c>
      <c r="C6" s="188" t="s">
        <v>16</v>
      </c>
      <c r="D6" s="189" t="s">
        <v>17</v>
      </c>
      <c r="E6" s="189" t="s">
        <v>18</v>
      </c>
      <c r="F6" s="187" t="s">
        <v>39</v>
      </c>
      <c r="G6" s="187" t="s">
        <v>40</v>
      </c>
      <c r="H6" s="187" t="s">
        <v>41</v>
      </c>
      <c r="I6" s="187" t="s">
        <v>42</v>
      </c>
      <c r="J6" s="187" t="s">
        <v>43</v>
      </c>
      <c r="K6" s="187" t="s">
        <v>44</v>
      </c>
      <c r="L6" s="201"/>
      <c r="M6" s="201"/>
    </row>
    <row r="7" spans="1:13" ht="12" customHeight="1" x14ac:dyDescent="0.2">
      <c r="A7" s="392">
        <f>PLAN!A9</f>
        <v>1</v>
      </c>
      <c r="B7" s="411"/>
      <c r="C7" s="390" t="str">
        <f>PLAN!C9</f>
        <v>ADMINISTRAÇÃO LOCAL</v>
      </c>
      <c r="D7" s="190" t="s">
        <v>19</v>
      </c>
      <c r="E7" s="202">
        <f>ROUND((E8/$E$56),4)</f>
        <v>3.9600000000000003E-2</v>
      </c>
      <c r="F7" s="202">
        <v>8.0500000000000002E-2</v>
      </c>
      <c r="G7" s="202">
        <v>0.08</v>
      </c>
      <c r="H7" s="202">
        <v>0.08</v>
      </c>
      <c r="I7" s="203">
        <v>0.08</v>
      </c>
      <c r="J7" s="202">
        <v>0.08</v>
      </c>
      <c r="K7" s="202">
        <v>0.08</v>
      </c>
      <c r="L7" s="204">
        <f t="shared" ref="L7:L54" si="1">SUM(F7:K7)</f>
        <v>0.48050000000000004</v>
      </c>
      <c r="M7" s="201"/>
    </row>
    <row r="8" spans="1:13" ht="12" customHeight="1" x14ac:dyDescent="0.2">
      <c r="A8" s="393"/>
      <c r="B8" s="412"/>
      <c r="C8" s="391"/>
      <c r="D8" s="191" t="s">
        <v>20</v>
      </c>
      <c r="E8" s="205">
        <f>PLAN!I12</f>
        <v>61365.52</v>
      </c>
      <c r="F8" s="205">
        <f>ROUND(F7*E8,2)</f>
        <v>4939.92</v>
      </c>
      <c r="G8" s="205">
        <f>ROUND(G7*E8,2)</f>
        <v>4909.24</v>
      </c>
      <c r="H8" s="205">
        <f>ROUND(H7*E8,2)</f>
        <v>4909.24</v>
      </c>
      <c r="I8" s="205">
        <f>ROUND(I7*E8,2)</f>
        <v>4909.24</v>
      </c>
      <c r="J8" s="205">
        <f>ROUND(J7*E8,2)</f>
        <v>4909.24</v>
      </c>
      <c r="K8" s="205">
        <f>ROUND(K7*E8,2)</f>
        <v>4909.24</v>
      </c>
      <c r="L8" s="206">
        <f t="shared" si="1"/>
        <v>29486.119999999995</v>
      </c>
      <c r="M8" s="206">
        <f>L8-E8</f>
        <v>-31879.4</v>
      </c>
    </row>
    <row r="9" spans="1:13" ht="12" customHeight="1" x14ac:dyDescent="0.2">
      <c r="A9" s="392">
        <f>PLAN!A13</f>
        <v>2</v>
      </c>
      <c r="B9" s="411"/>
      <c r="C9" s="390" t="str">
        <f>PLAN!C13</f>
        <v>SERVIÇOS PRELIMINARES</v>
      </c>
      <c r="D9" s="190" t="s">
        <v>19</v>
      </c>
      <c r="E9" s="202">
        <f>ROUND((E10/$E$56),4)</f>
        <v>2.29E-2</v>
      </c>
      <c r="F9" s="202">
        <v>0.10340000000000001</v>
      </c>
      <c r="G9" s="202">
        <v>8.1500000000000003E-2</v>
      </c>
      <c r="H9" s="202">
        <v>8.1500000000000003E-2</v>
      </c>
      <c r="I9" s="203">
        <v>8.1500000000000003E-2</v>
      </c>
      <c r="J9" s="202">
        <v>8.1500000000000003E-2</v>
      </c>
      <c r="K9" s="202">
        <v>8.1500000000000003E-2</v>
      </c>
      <c r="L9" s="204">
        <f t="shared" si="1"/>
        <v>0.51090000000000002</v>
      </c>
      <c r="M9" s="201"/>
    </row>
    <row r="10" spans="1:13" ht="12" customHeight="1" x14ac:dyDescent="0.2">
      <c r="A10" s="393"/>
      <c r="B10" s="412"/>
      <c r="C10" s="391"/>
      <c r="D10" s="191" t="s">
        <v>20</v>
      </c>
      <c r="E10" s="205">
        <f>PLAN!I15</f>
        <v>35506.870000000003</v>
      </c>
      <c r="F10" s="205">
        <f>ROUND(F9*E10,2)</f>
        <v>3671.41</v>
      </c>
      <c r="G10" s="205">
        <f>ROUND(G9*E10,2)</f>
        <v>2893.81</v>
      </c>
      <c r="H10" s="205">
        <f>ROUND(H9*E10,2)</f>
        <v>2893.81</v>
      </c>
      <c r="I10" s="205">
        <f>ROUND(I9*E10,2)</f>
        <v>2893.81</v>
      </c>
      <c r="J10" s="205">
        <f>ROUND(J9*E10,2)</f>
        <v>2893.81</v>
      </c>
      <c r="K10" s="205">
        <f>ROUND(K9*E10,2)</f>
        <v>2893.81</v>
      </c>
      <c r="L10" s="206">
        <f t="shared" si="1"/>
        <v>18140.46</v>
      </c>
      <c r="M10" s="206">
        <f>L10-E10</f>
        <v>-17366.410000000003</v>
      </c>
    </row>
    <row r="11" spans="1:13" ht="12" customHeight="1" x14ac:dyDescent="0.2">
      <c r="A11" s="392">
        <f>PLAN!A16</f>
        <v>3</v>
      </c>
      <c r="B11" s="411"/>
      <c r="C11" s="390" t="str">
        <f>PLAN!C16</f>
        <v>SERVIÇOS DIVERSOS</v>
      </c>
      <c r="D11" s="190" t="s">
        <v>19</v>
      </c>
      <c r="E11" s="202">
        <f>ROUND((E12/$E$56),4)</f>
        <v>0</v>
      </c>
      <c r="F11" s="202"/>
      <c r="G11" s="202"/>
      <c r="H11" s="202"/>
      <c r="I11" s="203"/>
      <c r="J11" s="202"/>
      <c r="K11" s="202"/>
      <c r="L11" s="204">
        <f t="shared" si="1"/>
        <v>0</v>
      </c>
      <c r="M11" s="201"/>
    </row>
    <row r="12" spans="1:13" ht="12" customHeight="1" x14ac:dyDescent="0.2">
      <c r="A12" s="393"/>
      <c r="B12" s="412"/>
      <c r="C12" s="391"/>
      <c r="D12" s="191" t="s">
        <v>20</v>
      </c>
      <c r="E12" s="205"/>
      <c r="F12" s="205">
        <f>ROUND(F11*E12,2)</f>
        <v>0</v>
      </c>
      <c r="G12" s="205">
        <f>ROUND(G11*E12,2)</f>
        <v>0</v>
      </c>
      <c r="H12" s="205">
        <f>ROUND(H11*E12,2)</f>
        <v>0</v>
      </c>
      <c r="I12" s="205">
        <f>ROUND(I11*E12,2)</f>
        <v>0</v>
      </c>
      <c r="J12" s="205">
        <f>ROUND(J11*E12,2)</f>
        <v>0</v>
      </c>
      <c r="K12" s="205">
        <f>ROUND(K11*E12,2)</f>
        <v>0</v>
      </c>
      <c r="L12" s="206">
        <f t="shared" si="1"/>
        <v>0</v>
      </c>
      <c r="M12" s="206">
        <f>L12-E12</f>
        <v>0</v>
      </c>
    </row>
    <row r="13" spans="1:13" ht="12" customHeight="1" x14ac:dyDescent="0.2">
      <c r="A13" s="392" t="str">
        <f>PLAN!A17</f>
        <v>3.1</v>
      </c>
      <c r="B13" s="411"/>
      <c r="C13" s="390" t="str">
        <f>PLAN!C17</f>
        <v xml:space="preserve">DESLOCAMENTO E TRANSPORTE </v>
      </c>
      <c r="D13" s="190" t="s">
        <v>19</v>
      </c>
      <c r="E13" s="202">
        <f>ROUND((E14/$E$56),4)</f>
        <v>1.9400000000000001E-2</v>
      </c>
      <c r="F13" s="202">
        <v>0.08</v>
      </c>
      <c r="G13" s="202">
        <v>0.08</v>
      </c>
      <c r="H13" s="202">
        <v>0.08</v>
      </c>
      <c r="I13" s="203">
        <v>0.08</v>
      </c>
      <c r="J13" s="202">
        <v>0.08</v>
      </c>
      <c r="K13" s="202">
        <v>0.08</v>
      </c>
      <c r="L13" s="204">
        <f t="shared" si="1"/>
        <v>0.48000000000000004</v>
      </c>
      <c r="M13" s="201"/>
    </row>
    <row r="14" spans="1:13" ht="12" customHeight="1" x14ac:dyDescent="0.2">
      <c r="A14" s="393"/>
      <c r="B14" s="412"/>
      <c r="C14" s="391"/>
      <c r="D14" s="191" t="s">
        <v>20</v>
      </c>
      <c r="E14" s="205">
        <f>PLAN!I19</f>
        <v>30086.880000000001</v>
      </c>
      <c r="F14" s="205">
        <f>ROUND(F13*E14,2)</f>
        <v>2406.9499999999998</v>
      </c>
      <c r="G14" s="205">
        <f>ROUND(G13*E14,2)</f>
        <v>2406.9499999999998</v>
      </c>
      <c r="H14" s="205">
        <f>ROUND(H13*E14,2)</f>
        <v>2406.9499999999998</v>
      </c>
      <c r="I14" s="205">
        <f>ROUND(I13*E14,2)</f>
        <v>2406.9499999999998</v>
      </c>
      <c r="J14" s="205">
        <f>ROUND(J13*E14,2)</f>
        <v>2406.9499999999998</v>
      </c>
      <c r="K14" s="205">
        <f>ROUND(K13*E14,2)</f>
        <v>2406.9499999999998</v>
      </c>
      <c r="L14" s="206">
        <f t="shared" si="1"/>
        <v>14441.7</v>
      </c>
      <c r="M14" s="206">
        <f>L14-E14</f>
        <v>-15645.18</v>
      </c>
    </row>
    <row r="15" spans="1:13" ht="12" customHeight="1" x14ac:dyDescent="0.2">
      <c r="A15" s="392" t="str">
        <f>PLAN!A20</f>
        <v>3.2</v>
      </c>
      <c r="B15" s="388"/>
      <c r="C15" s="390" t="str">
        <f>PLAN!C20</f>
        <v>RECOMPOSIÇÃO DE CALÇAMENTO EXISTENTE</v>
      </c>
      <c r="D15" s="190" t="s">
        <v>19</v>
      </c>
      <c r="E15" s="202">
        <f>ROUND((E16/$E$56),4)</f>
        <v>0.56520000000000004</v>
      </c>
      <c r="F15" s="202">
        <v>0.08</v>
      </c>
      <c r="G15" s="202">
        <v>0.08</v>
      </c>
      <c r="H15" s="202">
        <v>0.08</v>
      </c>
      <c r="I15" s="203">
        <v>0.08</v>
      </c>
      <c r="J15" s="202">
        <v>0.08</v>
      </c>
      <c r="K15" s="202">
        <v>0.08</v>
      </c>
      <c r="L15" s="204">
        <f t="shared" si="1"/>
        <v>0.48000000000000004</v>
      </c>
      <c r="M15" s="201"/>
    </row>
    <row r="16" spans="1:13" ht="12" customHeight="1" x14ac:dyDescent="0.2">
      <c r="A16" s="393"/>
      <c r="B16" s="389"/>
      <c r="C16" s="391"/>
      <c r="D16" s="191" t="s">
        <v>20</v>
      </c>
      <c r="E16" s="205">
        <f>PLAN!I30</f>
        <v>876652.24</v>
      </c>
      <c r="F16" s="205">
        <f>ROUND(F15*E16,2)</f>
        <v>70132.179999999993</v>
      </c>
      <c r="G16" s="205">
        <f>ROUND(G15*E16,2)</f>
        <v>70132.179999999993</v>
      </c>
      <c r="H16" s="205">
        <f>ROUND(H15*E16,2)</f>
        <v>70132.179999999993</v>
      </c>
      <c r="I16" s="205">
        <f>ROUND(I15*E16,2)</f>
        <v>70132.179999999993</v>
      </c>
      <c r="J16" s="205">
        <f>ROUND(J15*E16,2)</f>
        <v>70132.179999999993</v>
      </c>
      <c r="K16" s="205">
        <f>ROUND(K15*E16,2)</f>
        <v>70132.179999999993</v>
      </c>
      <c r="L16" s="206">
        <f t="shared" si="1"/>
        <v>420793.07999999996</v>
      </c>
      <c r="M16" s="206">
        <f>L16-E16</f>
        <v>-455859.16000000003</v>
      </c>
    </row>
    <row r="17" spans="1:13" ht="12" customHeight="1" x14ac:dyDescent="0.2">
      <c r="A17" s="392" t="str">
        <f>PLAN!A31</f>
        <v>3.3</v>
      </c>
      <c r="B17" s="388"/>
      <c r="C17" s="390" t="str">
        <f>PLAN!C31</f>
        <v>EXECUÇÃO DE QUEBRA-MOLAS</v>
      </c>
      <c r="D17" s="190" t="s">
        <v>19</v>
      </c>
      <c r="E17" s="202">
        <f>ROUND((E18/$E$56),4)</f>
        <v>5.2200000000000003E-2</v>
      </c>
      <c r="F17" s="202">
        <v>0.08</v>
      </c>
      <c r="G17" s="202">
        <v>0.08</v>
      </c>
      <c r="H17" s="202">
        <v>0.08</v>
      </c>
      <c r="I17" s="203">
        <v>0.08</v>
      </c>
      <c r="J17" s="202">
        <v>0.08</v>
      </c>
      <c r="K17" s="202">
        <v>0.08</v>
      </c>
      <c r="L17" s="204">
        <f t="shared" si="1"/>
        <v>0.48000000000000004</v>
      </c>
      <c r="M17" s="201"/>
    </row>
    <row r="18" spans="1:13" ht="12" customHeight="1" x14ac:dyDescent="0.2">
      <c r="A18" s="393"/>
      <c r="B18" s="389"/>
      <c r="C18" s="391"/>
      <c r="D18" s="191" t="s">
        <v>20</v>
      </c>
      <c r="E18" s="205">
        <f>PLAN!I33</f>
        <v>80881.429999999993</v>
      </c>
      <c r="F18" s="205">
        <f>ROUND(F17*E18,2)</f>
        <v>6470.51</v>
      </c>
      <c r="G18" s="205">
        <f>ROUND(G17*E18,2)</f>
        <v>6470.51</v>
      </c>
      <c r="H18" s="205">
        <f>ROUND(H17*E18,2)</f>
        <v>6470.51</v>
      </c>
      <c r="I18" s="205">
        <f>ROUND(I17*E18,2)</f>
        <v>6470.51</v>
      </c>
      <c r="J18" s="205">
        <f>ROUND(J17*E18,2)</f>
        <v>6470.51</v>
      </c>
      <c r="K18" s="205">
        <f>ROUND(K17*E18,2)</f>
        <v>6470.51</v>
      </c>
      <c r="L18" s="206">
        <f t="shared" si="1"/>
        <v>38823.060000000005</v>
      </c>
      <c r="M18" s="206">
        <f>L18-E18</f>
        <v>-42058.369999999988</v>
      </c>
    </row>
    <row r="19" spans="1:13" ht="12" customHeight="1" x14ac:dyDescent="0.2">
      <c r="A19" s="392" t="str">
        <f>PLAN!A34</f>
        <v>3.4</v>
      </c>
      <c r="B19" s="388"/>
      <c r="C19" s="390" t="str">
        <f>PLAN!C34</f>
        <v>TRAVAMENTO EXTERNO DE MEIO-FIOS EXISTENTES</v>
      </c>
      <c r="D19" s="190" t="s">
        <v>19</v>
      </c>
      <c r="E19" s="202">
        <f>ROUND((E20/$E$56),4)</f>
        <v>4.2200000000000001E-2</v>
      </c>
      <c r="F19" s="202">
        <v>0.08</v>
      </c>
      <c r="G19" s="202">
        <v>0.08</v>
      </c>
      <c r="H19" s="202">
        <v>0.08</v>
      </c>
      <c r="I19" s="203">
        <v>0.08</v>
      </c>
      <c r="J19" s="202">
        <v>0.08</v>
      </c>
      <c r="K19" s="202">
        <v>0.08</v>
      </c>
      <c r="L19" s="204">
        <f t="shared" si="1"/>
        <v>0.48000000000000004</v>
      </c>
      <c r="M19" s="201"/>
    </row>
    <row r="20" spans="1:13" ht="12" customHeight="1" x14ac:dyDescent="0.2">
      <c r="A20" s="393"/>
      <c r="B20" s="389"/>
      <c r="C20" s="391"/>
      <c r="D20" s="191" t="s">
        <v>20</v>
      </c>
      <c r="E20" s="205">
        <f>PLAN!I36</f>
        <v>65430</v>
      </c>
      <c r="F20" s="205">
        <f>ROUND(F19*E20,2)</f>
        <v>5234.3999999999996</v>
      </c>
      <c r="G20" s="205">
        <f>ROUND(G19*E20,2)</f>
        <v>5234.3999999999996</v>
      </c>
      <c r="H20" s="205">
        <f>ROUND(H19*E20,2)</f>
        <v>5234.3999999999996</v>
      </c>
      <c r="I20" s="205">
        <f>ROUND(I19*E20,2)</f>
        <v>5234.3999999999996</v>
      </c>
      <c r="J20" s="205">
        <f>ROUND(J19*E20,2)</f>
        <v>5234.3999999999996</v>
      </c>
      <c r="K20" s="205">
        <f>ROUND(K19*E20,2)</f>
        <v>5234.3999999999996</v>
      </c>
      <c r="L20" s="206">
        <f t="shared" si="1"/>
        <v>31406.400000000001</v>
      </c>
      <c r="M20" s="206">
        <f>L20-E20</f>
        <v>-34023.599999999999</v>
      </c>
    </row>
    <row r="21" spans="1:13" ht="12" customHeight="1" x14ac:dyDescent="0.2">
      <c r="A21" s="394" t="str">
        <f>PLAN!A37</f>
        <v>3.5</v>
      </c>
      <c r="B21" s="396"/>
      <c r="C21" s="398" t="str">
        <f>PLAN!C37</f>
        <v>DRENAGEM PLUVIAL</v>
      </c>
      <c r="D21" s="192" t="s">
        <v>19</v>
      </c>
      <c r="E21" s="202">
        <f>ROUND((E22/$E$56),4)</f>
        <v>9.8900000000000002E-2</v>
      </c>
      <c r="F21" s="202">
        <v>0.08</v>
      </c>
      <c r="G21" s="202">
        <v>0.08</v>
      </c>
      <c r="H21" s="202">
        <v>0.08</v>
      </c>
      <c r="I21" s="203">
        <v>0.08</v>
      </c>
      <c r="J21" s="202">
        <v>0.08</v>
      </c>
      <c r="K21" s="202">
        <v>0.08</v>
      </c>
      <c r="L21" s="204">
        <f t="shared" si="1"/>
        <v>0.48000000000000004</v>
      </c>
      <c r="M21" s="201"/>
    </row>
    <row r="22" spans="1:13" ht="12" customHeight="1" x14ac:dyDescent="0.2">
      <c r="A22" s="395"/>
      <c r="B22" s="397"/>
      <c r="C22" s="399"/>
      <c r="D22" s="193" t="s">
        <v>20</v>
      </c>
      <c r="E22" s="205">
        <f>PLAN!I48</f>
        <v>153354.39000000001</v>
      </c>
      <c r="F22" s="205">
        <f>ROUND(F21*E22,2)</f>
        <v>12268.35</v>
      </c>
      <c r="G22" s="205">
        <f>ROUND(G21*E22,2)</f>
        <v>12268.35</v>
      </c>
      <c r="H22" s="205">
        <f>ROUND(H21*E22,2)</f>
        <v>12268.35</v>
      </c>
      <c r="I22" s="205">
        <f>ROUND(I21*E22,2)</f>
        <v>12268.35</v>
      </c>
      <c r="J22" s="205">
        <f>ROUND(J21*E22,2)</f>
        <v>12268.35</v>
      </c>
      <c r="K22" s="205">
        <f>ROUND(K21*E22,2)</f>
        <v>12268.35</v>
      </c>
      <c r="L22" s="206">
        <f t="shared" si="1"/>
        <v>73610.100000000006</v>
      </c>
      <c r="M22" s="206">
        <f>L22-E22</f>
        <v>-79744.290000000008</v>
      </c>
    </row>
    <row r="23" spans="1:13" ht="12" customHeight="1" x14ac:dyDescent="0.2">
      <c r="A23" s="392" t="str">
        <f>PLAN!A49</f>
        <v>3.6</v>
      </c>
      <c r="B23" s="388"/>
      <c r="C23" s="390" t="str">
        <f>PLAN!C49</f>
        <v>CERCAMENTO EM MOURÕES DE MADEIRA E ARAME FARPADO</v>
      </c>
      <c r="D23" s="190" t="s">
        <v>19</v>
      </c>
      <c r="E23" s="202">
        <f>ROUND((E24/$E$56),4)</f>
        <v>2.3199999999999998E-2</v>
      </c>
      <c r="F23" s="202">
        <v>0.08</v>
      </c>
      <c r="G23" s="202">
        <v>0.08</v>
      </c>
      <c r="H23" s="202">
        <v>0.08</v>
      </c>
      <c r="I23" s="203">
        <v>0.08</v>
      </c>
      <c r="J23" s="202">
        <v>0.08</v>
      </c>
      <c r="K23" s="202">
        <v>0.08</v>
      </c>
      <c r="L23" s="204">
        <f t="shared" si="1"/>
        <v>0.48000000000000004</v>
      </c>
      <c r="M23" s="201"/>
    </row>
    <row r="24" spans="1:13" ht="12" customHeight="1" x14ac:dyDescent="0.2">
      <c r="A24" s="393"/>
      <c r="B24" s="389"/>
      <c r="C24" s="391"/>
      <c r="D24" s="191" t="s">
        <v>20</v>
      </c>
      <c r="E24" s="205">
        <f>PLAN!I53</f>
        <v>36049.300000000003</v>
      </c>
      <c r="F24" s="205">
        <f>ROUND(F23*E24,2)</f>
        <v>2883.94</v>
      </c>
      <c r="G24" s="205">
        <f>ROUND(G23*E24,2)</f>
        <v>2883.94</v>
      </c>
      <c r="H24" s="205">
        <f>ROUND(H23*E24,2)</f>
        <v>2883.94</v>
      </c>
      <c r="I24" s="205">
        <f>ROUND(I23*E24,2)</f>
        <v>2883.94</v>
      </c>
      <c r="J24" s="205">
        <f>ROUND(J23*E24,2)</f>
        <v>2883.94</v>
      </c>
      <c r="K24" s="205">
        <f>ROUND(K23*E24,2)</f>
        <v>2883.94</v>
      </c>
      <c r="L24" s="206">
        <f t="shared" si="1"/>
        <v>17303.64</v>
      </c>
      <c r="M24" s="206">
        <f>L24-E24</f>
        <v>-18745.660000000003</v>
      </c>
    </row>
    <row r="25" spans="1:13" ht="12" customHeight="1" x14ac:dyDescent="0.2">
      <c r="A25" s="394" t="str">
        <f>PLAN!A54</f>
        <v>3.7</v>
      </c>
      <c r="B25" s="396"/>
      <c r="C25" s="398" t="str">
        <f>PLAN!C54</f>
        <v>PASSEIOS DE CONCRETO P/ ESCOAMENTO DAS ÁGUAS PLUVIAIS DOS TALUDES</v>
      </c>
      <c r="D25" s="192" t="s">
        <v>19</v>
      </c>
      <c r="E25" s="202">
        <f>ROUND((E26/$E$56),4)</f>
        <v>5.0000000000000001E-3</v>
      </c>
      <c r="F25" s="202">
        <v>0.08</v>
      </c>
      <c r="G25" s="202">
        <v>0.08</v>
      </c>
      <c r="H25" s="202">
        <v>0.08</v>
      </c>
      <c r="I25" s="203">
        <v>0.08</v>
      </c>
      <c r="J25" s="202">
        <v>0.08</v>
      </c>
      <c r="K25" s="202">
        <v>0.08</v>
      </c>
      <c r="L25" s="204">
        <f t="shared" si="1"/>
        <v>0.48000000000000004</v>
      </c>
      <c r="M25" s="201"/>
    </row>
    <row r="26" spans="1:13" ht="12" customHeight="1" x14ac:dyDescent="0.2">
      <c r="A26" s="395"/>
      <c r="B26" s="397"/>
      <c r="C26" s="399"/>
      <c r="D26" s="193" t="s">
        <v>20</v>
      </c>
      <c r="E26" s="205">
        <f>PLAN!I57</f>
        <v>7819.5</v>
      </c>
      <c r="F26" s="205">
        <f>ROUND(F25*E26,2)</f>
        <v>625.55999999999995</v>
      </c>
      <c r="G26" s="205">
        <f>ROUND(G25*E26,2)</f>
        <v>625.55999999999995</v>
      </c>
      <c r="H26" s="205">
        <f>ROUND(H25*E26,2)</f>
        <v>625.55999999999995</v>
      </c>
      <c r="I26" s="205">
        <f>ROUND(I25*E26,2)</f>
        <v>625.55999999999995</v>
      </c>
      <c r="J26" s="205">
        <f>ROUND(J25*E26,2)</f>
        <v>625.55999999999995</v>
      </c>
      <c r="K26" s="205">
        <f>ROUND(K25*E26,2)</f>
        <v>625.55999999999995</v>
      </c>
      <c r="L26" s="206">
        <f t="shared" si="1"/>
        <v>3753.3599999999997</v>
      </c>
      <c r="M26" s="206">
        <f>L26-E26</f>
        <v>-4066.1400000000003</v>
      </c>
    </row>
    <row r="27" spans="1:13" ht="12" customHeight="1" x14ac:dyDescent="0.2">
      <c r="A27" s="392" t="str">
        <f>PLAN!A58</f>
        <v>3.8</v>
      </c>
      <c r="B27" s="388"/>
      <c r="C27" s="390" t="str">
        <f>PLAN!C58</f>
        <v>LIMPEZA GERAL E OUTROS SERVIÇOS EM VIAS PÚBLICAS</v>
      </c>
      <c r="D27" s="190" t="s">
        <v>19</v>
      </c>
      <c r="E27" s="202">
        <f>ROUND((E28/$E$56),4)</f>
        <v>0.13139999999999999</v>
      </c>
      <c r="F27" s="202">
        <v>0.08</v>
      </c>
      <c r="G27" s="202">
        <v>0.08</v>
      </c>
      <c r="H27" s="202">
        <v>0.08</v>
      </c>
      <c r="I27" s="203">
        <v>0.08</v>
      </c>
      <c r="J27" s="202">
        <v>0.08</v>
      </c>
      <c r="K27" s="202">
        <v>0.08</v>
      </c>
      <c r="L27" s="204">
        <f t="shared" si="1"/>
        <v>0.48000000000000004</v>
      </c>
      <c r="M27" s="201"/>
    </row>
    <row r="28" spans="1:13" ht="12" customHeight="1" x14ac:dyDescent="0.2">
      <c r="A28" s="393"/>
      <c r="B28" s="389"/>
      <c r="C28" s="391"/>
      <c r="D28" s="191" t="s">
        <v>20</v>
      </c>
      <c r="E28" s="205">
        <f>PLAN!I67</f>
        <v>203779.93</v>
      </c>
      <c r="F28" s="205">
        <f>ROUND(F27*E28,2)</f>
        <v>16302.39</v>
      </c>
      <c r="G28" s="205">
        <f>ROUND(G27*E28,2)</f>
        <v>16302.39</v>
      </c>
      <c r="H28" s="205">
        <f>ROUND(H27*E28,2)</f>
        <v>16302.39</v>
      </c>
      <c r="I28" s="205">
        <f>ROUND(I27*E28,2)</f>
        <v>16302.39</v>
      </c>
      <c r="J28" s="205">
        <f>ROUND(J27*E28,2)</f>
        <v>16302.39</v>
      </c>
      <c r="K28" s="205">
        <f>ROUND(K27*E28,2)</f>
        <v>16302.39</v>
      </c>
      <c r="L28" s="206">
        <f t="shared" si="1"/>
        <v>97814.34</v>
      </c>
      <c r="M28" s="206">
        <f>L28-E28</f>
        <v>-105965.59</v>
      </c>
    </row>
    <row r="29" spans="1:13" ht="12" customHeight="1" x14ac:dyDescent="0.2">
      <c r="A29" s="392" t="str">
        <f>PLAN!A60</f>
        <v>3.8.2</v>
      </c>
      <c r="B29" s="396"/>
      <c r="C29" s="398"/>
      <c r="D29" s="192" t="s">
        <v>19</v>
      </c>
      <c r="E29" s="202">
        <f>ROUND((E30/$E$56),4)</f>
        <v>0</v>
      </c>
      <c r="F29" s="209"/>
      <c r="G29" s="209"/>
      <c r="H29" s="209"/>
      <c r="I29" s="210"/>
      <c r="J29" s="209"/>
      <c r="K29" s="209"/>
      <c r="L29" s="204">
        <f t="shared" si="1"/>
        <v>0</v>
      </c>
      <c r="M29" s="201"/>
    </row>
    <row r="30" spans="1:13" ht="12" customHeight="1" x14ac:dyDescent="0.2">
      <c r="A30" s="393"/>
      <c r="B30" s="397"/>
      <c r="C30" s="399"/>
      <c r="D30" s="193" t="s">
        <v>20</v>
      </c>
      <c r="E30" s="205"/>
      <c r="F30" s="205">
        <f>ROUND(F29*E30,2)</f>
        <v>0</v>
      </c>
      <c r="G30" s="205">
        <f>ROUND(G29*E30,2)</f>
        <v>0</v>
      </c>
      <c r="H30" s="205">
        <f>ROUND(H29*E30,2)</f>
        <v>0</v>
      </c>
      <c r="I30" s="205">
        <f>ROUND(I29*E30,2)</f>
        <v>0</v>
      </c>
      <c r="J30" s="205">
        <f>ROUND(J29*E30,2)</f>
        <v>0</v>
      </c>
      <c r="K30" s="205">
        <f>ROUND(K29*E30,2)</f>
        <v>0</v>
      </c>
      <c r="L30" s="206">
        <f t="shared" si="1"/>
        <v>0</v>
      </c>
      <c r="M30" s="206">
        <f>L30-E30</f>
        <v>0</v>
      </c>
    </row>
    <row r="31" spans="1:13" ht="12" customHeight="1" x14ac:dyDescent="0.2">
      <c r="A31" s="392"/>
      <c r="B31" s="388"/>
      <c r="C31" s="390"/>
      <c r="D31" s="190" t="s">
        <v>19</v>
      </c>
      <c r="E31" s="202">
        <f>ROUND((E32/$E$56),4)</f>
        <v>0</v>
      </c>
      <c r="F31" s="208"/>
      <c r="G31" s="208"/>
      <c r="H31" s="208"/>
      <c r="I31" s="207"/>
      <c r="J31" s="208"/>
      <c r="K31" s="208"/>
      <c r="L31" s="204">
        <f t="shared" si="1"/>
        <v>0</v>
      </c>
      <c r="M31" s="201"/>
    </row>
    <row r="32" spans="1:13" ht="12" customHeight="1" x14ac:dyDescent="0.2">
      <c r="A32" s="393"/>
      <c r="B32" s="389"/>
      <c r="C32" s="391"/>
      <c r="D32" s="191" t="s">
        <v>20</v>
      </c>
      <c r="E32" s="205"/>
      <c r="F32" s="205">
        <f>ROUND(F31*E32,2)</f>
        <v>0</v>
      </c>
      <c r="G32" s="205">
        <f>ROUND(G31*E32,2)</f>
        <v>0</v>
      </c>
      <c r="H32" s="205">
        <f>ROUND(H31*E32,2)</f>
        <v>0</v>
      </c>
      <c r="I32" s="205">
        <f>ROUND(I31*E32,2)</f>
        <v>0</v>
      </c>
      <c r="J32" s="205">
        <f>ROUND(J31*E32,2)</f>
        <v>0</v>
      </c>
      <c r="K32" s="205">
        <f>ROUND(K31*E32,2)</f>
        <v>0</v>
      </c>
      <c r="L32" s="206">
        <f t="shared" si="1"/>
        <v>0</v>
      </c>
      <c r="M32" s="206">
        <f>L32-E32</f>
        <v>0</v>
      </c>
    </row>
    <row r="33" spans="1:13" ht="12" customHeight="1" x14ac:dyDescent="0.2">
      <c r="A33" s="394"/>
      <c r="B33" s="396"/>
      <c r="C33" s="398"/>
      <c r="D33" s="192" t="s">
        <v>19</v>
      </c>
      <c r="E33" s="202">
        <f>ROUND((E34/$E$56),4)</f>
        <v>0</v>
      </c>
      <c r="F33" s="209"/>
      <c r="G33" s="209"/>
      <c r="H33" s="209"/>
      <c r="I33" s="210"/>
      <c r="J33" s="209"/>
      <c r="K33" s="209"/>
      <c r="L33" s="204">
        <f t="shared" si="1"/>
        <v>0</v>
      </c>
      <c r="M33" s="201"/>
    </row>
    <row r="34" spans="1:13" ht="12" customHeight="1" x14ac:dyDescent="0.2">
      <c r="A34" s="395"/>
      <c r="B34" s="397"/>
      <c r="C34" s="399"/>
      <c r="D34" s="193" t="s">
        <v>20</v>
      </c>
      <c r="E34" s="205"/>
      <c r="F34" s="205">
        <f>ROUND(F33*E34,2)</f>
        <v>0</v>
      </c>
      <c r="G34" s="205">
        <f>ROUND(G33*E34,2)</f>
        <v>0</v>
      </c>
      <c r="H34" s="205">
        <f>ROUND(H33*E34,2)</f>
        <v>0</v>
      </c>
      <c r="I34" s="205">
        <f>ROUND(I33*E34,2)</f>
        <v>0</v>
      </c>
      <c r="J34" s="205">
        <f>ROUND(J33*E34,2)</f>
        <v>0</v>
      </c>
      <c r="K34" s="205">
        <f>ROUND(K33*E34,2)</f>
        <v>0</v>
      </c>
      <c r="L34" s="206">
        <f t="shared" si="1"/>
        <v>0</v>
      </c>
      <c r="M34" s="206">
        <f>L34-E34</f>
        <v>0</v>
      </c>
    </row>
    <row r="35" spans="1:13" ht="12" customHeight="1" x14ac:dyDescent="0.2">
      <c r="A35" s="392"/>
      <c r="B35" s="388"/>
      <c r="C35" s="390"/>
      <c r="D35" s="190" t="s">
        <v>19</v>
      </c>
      <c r="E35" s="202">
        <f>ROUND((E36/$E$56),4)</f>
        <v>0</v>
      </c>
      <c r="F35" s="208"/>
      <c r="G35" s="208"/>
      <c r="H35" s="208"/>
      <c r="I35" s="207"/>
      <c r="J35" s="208"/>
      <c r="K35" s="208"/>
      <c r="L35" s="204">
        <f t="shared" si="1"/>
        <v>0</v>
      </c>
      <c r="M35" s="201"/>
    </row>
    <row r="36" spans="1:13" ht="12" customHeight="1" x14ac:dyDescent="0.2">
      <c r="A36" s="393"/>
      <c r="B36" s="389"/>
      <c r="C36" s="391"/>
      <c r="D36" s="191" t="s">
        <v>20</v>
      </c>
      <c r="E36" s="205"/>
      <c r="F36" s="205">
        <f>ROUND(F35*E36,2)</f>
        <v>0</v>
      </c>
      <c r="G36" s="205">
        <f>ROUND(G35*E36,2)</f>
        <v>0</v>
      </c>
      <c r="H36" s="205">
        <f>ROUND(H35*E36,2)</f>
        <v>0</v>
      </c>
      <c r="I36" s="205">
        <f>ROUND(I35*E36,2)</f>
        <v>0</v>
      </c>
      <c r="J36" s="205">
        <f>ROUND(J35*E36,2)</f>
        <v>0</v>
      </c>
      <c r="K36" s="205">
        <f>ROUND(K35*E36,2)</f>
        <v>0</v>
      </c>
      <c r="L36" s="206">
        <f t="shared" si="1"/>
        <v>0</v>
      </c>
      <c r="M36" s="206">
        <f>L36-E36</f>
        <v>0</v>
      </c>
    </row>
    <row r="37" spans="1:13" ht="12" customHeight="1" x14ac:dyDescent="0.2">
      <c r="A37" s="394"/>
      <c r="B37" s="396"/>
      <c r="C37" s="398"/>
      <c r="D37" s="192" t="s">
        <v>19</v>
      </c>
      <c r="E37" s="202">
        <f>ROUND((E38/$E$56),4)</f>
        <v>0</v>
      </c>
      <c r="F37" s="209"/>
      <c r="G37" s="209"/>
      <c r="H37" s="209"/>
      <c r="I37" s="210"/>
      <c r="J37" s="209"/>
      <c r="K37" s="209"/>
      <c r="L37" s="204">
        <f t="shared" si="1"/>
        <v>0</v>
      </c>
      <c r="M37" s="201"/>
    </row>
    <row r="38" spans="1:13" ht="12" customHeight="1" x14ac:dyDescent="0.2">
      <c r="A38" s="395"/>
      <c r="B38" s="397"/>
      <c r="C38" s="399"/>
      <c r="D38" s="193" t="s">
        <v>20</v>
      </c>
      <c r="E38" s="205"/>
      <c r="F38" s="205">
        <f>ROUND(F37*E38,2)</f>
        <v>0</v>
      </c>
      <c r="G38" s="205">
        <f>ROUND(G37*E38,2)</f>
        <v>0</v>
      </c>
      <c r="H38" s="205">
        <f>ROUND(H37*E38,2)</f>
        <v>0</v>
      </c>
      <c r="I38" s="205">
        <f>ROUND(I37*E38,2)</f>
        <v>0</v>
      </c>
      <c r="J38" s="205">
        <f>ROUND(J37*E38,2)</f>
        <v>0</v>
      </c>
      <c r="K38" s="205">
        <f>ROUND(K37*E38,2)</f>
        <v>0</v>
      </c>
      <c r="L38" s="206">
        <f t="shared" si="1"/>
        <v>0</v>
      </c>
      <c r="M38" s="206">
        <f>L38-E38</f>
        <v>0</v>
      </c>
    </row>
    <row r="39" spans="1:13" ht="12" customHeight="1" x14ac:dyDescent="0.2">
      <c r="A39" s="392"/>
      <c r="B39" s="388"/>
      <c r="C39" s="390"/>
      <c r="D39" s="190" t="s">
        <v>19</v>
      </c>
      <c r="E39" s="202">
        <f>ROUND((E40/$E$56),4)</f>
        <v>0</v>
      </c>
      <c r="F39" s="208"/>
      <c r="G39" s="208"/>
      <c r="H39" s="208"/>
      <c r="I39" s="207"/>
      <c r="J39" s="208"/>
      <c r="K39" s="208"/>
      <c r="L39" s="204">
        <f t="shared" si="1"/>
        <v>0</v>
      </c>
      <c r="M39" s="201"/>
    </row>
    <row r="40" spans="1:13" ht="12" customHeight="1" x14ac:dyDescent="0.2">
      <c r="A40" s="393"/>
      <c r="B40" s="389"/>
      <c r="C40" s="391"/>
      <c r="D40" s="191" t="s">
        <v>20</v>
      </c>
      <c r="E40" s="205"/>
      <c r="F40" s="205">
        <f>ROUND(F39*E40,2)</f>
        <v>0</v>
      </c>
      <c r="G40" s="205">
        <f>ROUND(G39*E40,2)</f>
        <v>0</v>
      </c>
      <c r="H40" s="205">
        <f>ROUND(H39*E40,2)</f>
        <v>0</v>
      </c>
      <c r="I40" s="205">
        <f>ROUND(I39*E40,2)</f>
        <v>0</v>
      </c>
      <c r="J40" s="205">
        <f>ROUND(J39*E40,2)</f>
        <v>0</v>
      </c>
      <c r="K40" s="205">
        <f>ROUND(K39*E40,2)</f>
        <v>0</v>
      </c>
      <c r="L40" s="206">
        <f t="shared" si="1"/>
        <v>0</v>
      </c>
      <c r="M40" s="206">
        <f>L40-E40</f>
        <v>0</v>
      </c>
    </row>
    <row r="41" spans="1:13" ht="12" customHeight="1" x14ac:dyDescent="0.2">
      <c r="A41" s="394"/>
      <c r="B41" s="396"/>
      <c r="C41" s="398"/>
      <c r="D41" s="192" t="s">
        <v>19</v>
      </c>
      <c r="E41" s="202">
        <f>ROUND((E42/$E$56),4)</f>
        <v>0</v>
      </c>
      <c r="F41" s="208"/>
      <c r="G41" s="208"/>
      <c r="H41" s="208"/>
      <c r="I41" s="207"/>
      <c r="J41" s="208"/>
      <c r="K41" s="208"/>
      <c r="L41" s="204">
        <f t="shared" si="1"/>
        <v>0</v>
      </c>
      <c r="M41" s="201"/>
    </row>
    <row r="42" spans="1:13" ht="12" customHeight="1" x14ac:dyDescent="0.2">
      <c r="A42" s="395"/>
      <c r="B42" s="397"/>
      <c r="C42" s="399"/>
      <c r="D42" s="193" t="s">
        <v>20</v>
      </c>
      <c r="E42" s="205"/>
      <c r="F42" s="205">
        <f>ROUND(F41*E42,2)</f>
        <v>0</v>
      </c>
      <c r="G42" s="205">
        <f>ROUND(G41*E42,2)</f>
        <v>0</v>
      </c>
      <c r="H42" s="205">
        <f>ROUND(H41*E42,2)</f>
        <v>0</v>
      </c>
      <c r="I42" s="205">
        <f>ROUND(I41*E42,2)</f>
        <v>0</v>
      </c>
      <c r="J42" s="205">
        <f>ROUND(J41*E42,2)</f>
        <v>0</v>
      </c>
      <c r="K42" s="205">
        <f>ROUND(K41*E42,2)</f>
        <v>0</v>
      </c>
      <c r="L42" s="206">
        <f t="shared" si="1"/>
        <v>0</v>
      </c>
      <c r="M42" s="206">
        <f>L42-E42</f>
        <v>0</v>
      </c>
    </row>
    <row r="43" spans="1:13" ht="12" customHeight="1" x14ac:dyDescent="0.2">
      <c r="A43" s="392"/>
      <c r="B43" s="388"/>
      <c r="C43" s="390"/>
      <c r="D43" s="190" t="s">
        <v>19</v>
      </c>
      <c r="E43" s="202">
        <f>ROUND((E44/$E$56),4)</f>
        <v>0</v>
      </c>
      <c r="F43" s="208"/>
      <c r="G43" s="208"/>
      <c r="H43" s="208"/>
      <c r="I43" s="207"/>
      <c r="J43" s="208"/>
      <c r="K43" s="208"/>
      <c r="L43" s="204">
        <f t="shared" si="1"/>
        <v>0</v>
      </c>
      <c r="M43" s="201"/>
    </row>
    <row r="44" spans="1:13" ht="12" customHeight="1" x14ac:dyDescent="0.2">
      <c r="A44" s="393"/>
      <c r="B44" s="389"/>
      <c r="C44" s="391"/>
      <c r="D44" s="191" t="s">
        <v>20</v>
      </c>
      <c r="E44" s="205"/>
      <c r="F44" s="205">
        <f>ROUND(F43*E44,2)</f>
        <v>0</v>
      </c>
      <c r="G44" s="205">
        <f>ROUND(G43*E44,2)</f>
        <v>0</v>
      </c>
      <c r="H44" s="205">
        <f>ROUND(H43*E44,2)</f>
        <v>0</v>
      </c>
      <c r="I44" s="205">
        <f>ROUND(I43*E44,2)</f>
        <v>0</v>
      </c>
      <c r="J44" s="205">
        <f>ROUND(J43*E44,2)</f>
        <v>0</v>
      </c>
      <c r="K44" s="205">
        <f>ROUND(K43*E44,2)</f>
        <v>0</v>
      </c>
      <c r="L44" s="206">
        <f t="shared" si="1"/>
        <v>0</v>
      </c>
      <c r="M44" s="206">
        <f>L44-E44</f>
        <v>0</v>
      </c>
    </row>
    <row r="45" spans="1:13" ht="12" customHeight="1" x14ac:dyDescent="0.2">
      <c r="A45" s="392"/>
      <c r="B45" s="388"/>
      <c r="C45" s="390"/>
      <c r="D45" s="190" t="s">
        <v>19</v>
      </c>
      <c r="E45" s="202">
        <f>ROUND((E46/$E$56),4)</f>
        <v>0</v>
      </c>
      <c r="F45" s="208"/>
      <c r="G45" s="208"/>
      <c r="H45" s="208"/>
      <c r="I45" s="207"/>
      <c r="J45" s="208"/>
      <c r="K45" s="208"/>
      <c r="L45" s="204">
        <f t="shared" si="1"/>
        <v>0</v>
      </c>
      <c r="M45" s="201"/>
    </row>
    <row r="46" spans="1:13" ht="12" customHeight="1" x14ac:dyDescent="0.2">
      <c r="A46" s="393"/>
      <c r="B46" s="389"/>
      <c r="C46" s="391"/>
      <c r="D46" s="191" t="s">
        <v>20</v>
      </c>
      <c r="E46" s="205"/>
      <c r="F46" s="205">
        <f>ROUND(F45*E46,2)</f>
        <v>0</v>
      </c>
      <c r="G46" s="205">
        <f>ROUND(G45*E46,2)</f>
        <v>0</v>
      </c>
      <c r="H46" s="205">
        <f>ROUND(H45*E46,2)</f>
        <v>0</v>
      </c>
      <c r="I46" s="205">
        <f>ROUND(I45*E46,2)</f>
        <v>0</v>
      </c>
      <c r="J46" s="205">
        <f>ROUND(J45*E46,2)</f>
        <v>0</v>
      </c>
      <c r="K46" s="205">
        <f>ROUND(K45*E46,2)</f>
        <v>0</v>
      </c>
      <c r="L46" s="206">
        <f t="shared" si="1"/>
        <v>0</v>
      </c>
      <c r="M46" s="206">
        <f>L46-E46</f>
        <v>0</v>
      </c>
    </row>
    <row r="47" spans="1:13" ht="12" customHeight="1" x14ac:dyDescent="0.2">
      <c r="A47" s="392"/>
      <c r="B47" s="388"/>
      <c r="C47" s="390"/>
      <c r="D47" s="190" t="s">
        <v>19</v>
      </c>
      <c r="E47" s="202">
        <f>ROUND((E48/$E$56),4)</f>
        <v>0</v>
      </c>
      <c r="F47" s="208"/>
      <c r="G47" s="208"/>
      <c r="H47" s="208"/>
      <c r="I47" s="207"/>
      <c r="J47" s="208"/>
      <c r="K47" s="208"/>
      <c r="L47" s="204">
        <f t="shared" si="1"/>
        <v>0</v>
      </c>
      <c r="M47" s="201"/>
    </row>
    <row r="48" spans="1:13" ht="12" customHeight="1" x14ac:dyDescent="0.2">
      <c r="A48" s="393"/>
      <c r="B48" s="389"/>
      <c r="C48" s="391"/>
      <c r="D48" s="191" t="s">
        <v>20</v>
      </c>
      <c r="E48" s="205"/>
      <c r="F48" s="205">
        <f>ROUND(F47*E48,2)</f>
        <v>0</v>
      </c>
      <c r="G48" s="205">
        <f>ROUND(G47*E48,2)</f>
        <v>0</v>
      </c>
      <c r="H48" s="205">
        <f>ROUND(H47*E48,2)</f>
        <v>0</v>
      </c>
      <c r="I48" s="205">
        <f>ROUND(I47*E48,2)</f>
        <v>0</v>
      </c>
      <c r="J48" s="205">
        <f>ROUND(J47*E48,2)</f>
        <v>0</v>
      </c>
      <c r="K48" s="205">
        <f>ROUND(K47*E48,2)</f>
        <v>0</v>
      </c>
      <c r="L48" s="206">
        <f t="shared" si="1"/>
        <v>0</v>
      </c>
      <c r="M48" s="206">
        <f>L48-E48</f>
        <v>0</v>
      </c>
    </row>
    <row r="49" spans="1:13" ht="12" customHeight="1" x14ac:dyDescent="0.2">
      <c r="A49" s="392"/>
      <c r="B49" s="388"/>
      <c r="C49" s="390"/>
      <c r="D49" s="190" t="s">
        <v>19</v>
      </c>
      <c r="E49" s="202">
        <f>ROUND((E50/$E$56),4)</f>
        <v>0</v>
      </c>
      <c r="F49" s="208"/>
      <c r="G49" s="208"/>
      <c r="H49" s="208"/>
      <c r="I49" s="207"/>
      <c r="J49" s="208"/>
      <c r="K49" s="208"/>
      <c r="L49" s="204">
        <f t="shared" si="1"/>
        <v>0</v>
      </c>
      <c r="M49" s="201"/>
    </row>
    <row r="50" spans="1:13" ht="12" customHeight="1" x14ac:dyDescent="0.2">
      <c r="A50" s="393"/>
      <c r="B50" s="389"/>
      <c r="C50" s="391"/>
      <c r="D50" s="191" t="s">
        <v>20</v>
      </c>
      <c r="E50" s="205"/>
      <c r="F50" s="205">
        <f>ROUND(F49*E50,2)</f>
        <v>0</v>
      </c>
      <c r="G50" s="205">
        <f>ROUND(G49*E50,2)</f>
        <v>0</v>
      </c>
      <c r="H50" s="205">
        <f>ROUND(H49*E50,2)</f>
        <v>0</v>
      </c>
      <c r="I50" s="205">
        <f>ROUND(I49*E50,2)</f>
        <v>0</v>
      </c>
      <c r="J50" s="205">
        <f>ROUND(J49*E50,2)</f>
        <v>0</v>
      </c>
      <c r="K50" s="205">
        <f>ROUND(K49*E50,2)</f>
        <v>0</v>
      </c>
      <c r="L50" s="206">
        <f t="shared" si="1"/>
        <v>0</v>
      </c>
      <c r="M50" s="206">
        <f>L50-E50</f>
        <v>0</v>
      </c>
    </row>
    <row r="51" spans="1:13" ht="12" customHeight="1" x14ac:dyDescent="0.2">
      <c r="A51" s="392"/>
      <c r="B51" s="388"/>
      <c r="C51" s="390"/>
      <c r="D51" s="190" t="s">
        <v>19</v>
      </c>
      <c r="E51" s="202">
        <f>ROUND((E52/$E$56),4)</f>
        <v>0</v>
      </c>
      <c r="F51" s="208"/>
      <c r="G51" s="208"/>
      <c r="H51" s="208"/>
      <c r="I51" s="207"/>
      <c r="J51" s="208"/>
      <c r="K51" s="208"/>
      <c r="L51" s="204">
        <f t="shared" si="1"/>
        <v>0</v>
      </c>
      <c r="M51" s="201"/>
    </row>
    <row r="52" spans="1:13" ht="12" customHeight="1" x14ac:dyDescent="0.2">
      <c r="A52" s="393"/>
      <c r="B52" s="389"/>
      <c r="C52" s="391"/>
      <c r="D52" s="191" t="s">
        <v>20</v>
      </c>
      <c r="E52" s="205"/>
      <c r="F52" s="205">
        <f>ROUND(F51*E52,2)</f>
        <v>0</v>
      </c>
      <c r="G52" s="205">
        <f>ROUND(G51*E52,2)</f>
        <v>0</v>
      </c>
      <c r="H52" s="205">
        <f>ROUND(H51*E52,2)</f>
        <v>0</v>
      </c>
      <c r="I52" s="205">
        <f>ROUND(I51*E52,2)</f>
        <v>0</v>
      </c>
      <c r="J52" s="205">
        <f>ROUND(J51*E52,2)</f>
        <v>0</v>
      </c>
      <c r="K52" s="205">
        <f>ROUND(K51*E52,2)</f>
        <v>0</v>
      </c>
      <c r="L52" s="206">
        <f t="shared" si="1"/>
        <v>0</v>
      </c>
      <c r="M52" s="206">
        <f>L52-E52</f>
        <v>0</v>
      </c>
    </row>
    <row r="53" spans="1:13" ht="12" customHeight="1" x14ac:dyDescent="0.2">
      <c r="A53" s="392"/>
      <c r="B53" s="388"/>
      <c r="C53" s="390"/>
      <c r="D53" s="190" t="s">
        <v>19</v>
      </c>
      <c r="E53" s="202">
        <f>ROUND((E54/$E$56),4)</f>
        <v>0</v>
      </c>
      <c r="F53" s="208"/>
      <c r="G53" s="208"/>
      <c r="H53" s="208"/>
      <c r="I53" s="207"/>
      <c r="J53" s="208"/>
      <c r="K53" s="208"/>
      <c r="L53" s="204">
        <f t="shared" si="1"/>
        <v>0</v>
      </c>
      <c r="M53" s="201"/>
    </row>
    <row r="54" spans="1:13" ht="12" customHeight="1" x14ac:dyDescent="0.2">
      <c r="A54" s="393"/>
      <c r="B54" s="389"/>
      <c r="C54" s="391"/>
      <c r="D54" s="191" t="s">
        <v>20</v>
      </c>
      <c r="E54" s="205"/>
      <c r="F54" s="205">
        <f>ROUND(F53*E54,2)</f>
        <v>0</v>
      </c>
      <c r="G54" s="205">
        <f>ROUND(G53*E54,2)</f>
        <v>0</v>
      </c>
      <c r="H54" s="205">
        <f>ROUND(H53*E54,2)</f>
        <v>0</v>
      </c>
      <c r="I54" s="205">
        <f>ROUND(I53*E54,2)</f>
        <v>0</v>
      </c>
      <c r="J54" s="205">
        <f>ROUND(J53*E54,2)</f>
        <v>0</v>
      </c>
      <c r="K54" s="205">
        <f>ROUND(K53*E54,2)</f>
        <v>0</v>
      </c>
      <c r="L54" s="206">
        <f t="shared" si="1"/>
        <v>0</v>
      </c>
      <c r="M54" s="206">
        <f>L54-E54</f>
        <v>0</v>
      </c>
    </row>
    <row r="55" spans="1:13" ht="12" customHeight="1" x14ac:dyDescent="0.2">
      <c r="A55" s="400" t="s">
        <v>21</v>
      </c>
      <c r="B55" s="401"/>
      <c r="C55" s="402"/>
      <c r="D55" s="194" t="s">
        <v>19</v>
      </c>
      <c r="E55" s="202">
        <f>E7+E9+E11+E13+E15+E17+E19+E21+E23+E25+E27+E29+E31+E33+E35+E37+E39+E41+E43+E45+E47+E49+E51+E53</f>
        <v>1</v>
      </c>
      <c r="F55" s="202">
        <f t="shared" ref="F55:K55" si="2">ROUND(F56/$E$56,4)</f>
        <v>8.0600000000000005E-2</v>
      </c>
      <c r="G55" s="202">
        <f t="shared" si="2"/>
        <v>0.08</v>
      </c>
      <c r="H55" s="202">
        <f t="shared" si="2"/>
        <v>0.08</v>
      </c>
      <c r="I55" s="202">
        <f t="shared" si="2"/>
        <v>0.08</v>
      </c>
      <c r="J55" s="202">
        <f t="shared" si="2"/>
        <v>0.08</v>
      </c>
      <c r="K55" s="202">
        <f t="shared" si="2"/>
        <v>0.08</v>
      </c>
      <c r="L55" s="211">
        <f>F55+G55+H55+I55+J55+K55</f>
        <v>0.48060000000000008</v>
      </c>
      <c r="M55" s="201"/>
    </row>
    <row r="56" spans="1:13" ht="12" customHeight="1" x14ac:dyDescent="0.2">
      <c r="A56" s="403"/>
      <c r="B56" s="404"/>
      <c r="C56" s="405"/>
      <c r="D56" s="195" t="s">
        <v>20</v>
      </c>
      <c r="E56" s="212">
        <f>E8+E10+E12+E14+E16+E18+E20+E22+E24+E26+E28+E30+E32+E34+E36+E38+E40+E42+E44+E46+E48+E50+E52+E54</f>
        <v>1550926.06</v>
      </c>
      <c r="F56" s="212">
        <f t="shared" ref="F56:K56" si="3">F8+F10+F12+F14+F16+F18+F20+F22+F24+F26+F28+F30+F32+F34+F36+F38+F40+F42+F44+F46+F48+F50+F52+F54</f>
        <v>124935.60999999999</v>
      </c>
      <c r="G56" s="212">
        <f t="shared" si="3"/>
        <v>124127.32999999999</v>
      </c>
      <c r="H56" s="212">
        <f t="shared" si="3"/>
        <v>124127.32999999999</v>
      </c>
      <c r="I56" s="212">
        <f t="shared" si="3"/>
        <v>124127.32999999999</v>
      </c>
      <c r="J56" s="212">
        <f t="shared" si="3"/>
        <v>124127.32999999999</v>
      </c>
      <c r="K56" s="212">
        <f t="shared" si="3"/>
        <v>124127.32999999999</v>
      </c>
      <c r="L56" s="213">
        <f>F56+G56+H56+I56+J56+K56</f>
        <v>745572.25999999989</v>
      </c>
      <c r="M56" s="201"/>
    </row>
    <row r="57" spans="1:13" ht="12" customHeight="1" x14ac:dyDescent="0.2">
      <c r="A57" s="214"/>
      <c r="B57" s="215"/>
      <c r="C57" s="215"/>
      <c r="D57" s="215"/>
      <c r="E57" s="215"/>
      <c r="F57" s="215"/>
      <c r="G57" s="215"/>
      <c r="H57" s="216"/>
      <c r="I57" s="216"/>
      <c r="J57" s="216"/>
      <c r="K57" s="217"/>
      <c r="L57" s="201"/>
      <c r="M57" s="201" t="s">
        <v>22</v>
      </c>
    </row>
    <row r="58" spans="1:13" ht="12" customHeight="1" x14ac:dyDescent="0.2">
      <c r="A58" s="218"/>
      <c r="B58" s="198"/>
      <c r="C58" s="198"/>
      <c r="D58" s="198"/>
      <c r="E58" s="198"/>
      <c r="F58" s="198"/>
      <c r="G58" s="198"/>
      <c r="H58" s="201"/>
      <c r="I58" s="201"/>
      <c r="J58" s="201"/>
      <c r="K58" s="196"/>
      <c r="L58" s="201"/>
      <c r="M58" s="201"/>
    </row>
    <row r="59" spans="1:13" ht="12" customHeight="1" x14ac:dyDescent="0.2">
      <c r="A59" s="218"/>
      <c r="B59" s="247" t="s">
        <v>12</v>
      </c>
      <c r="C59" s="242"/>
      <c r="D59" s="198"/>
      <c r="E59" s="408" t="s">
        <v>11</v>
      </c>
      <c r="F59" s="408"/>
      <c r="G59" s="219"/>
      <c r="H59" s="220"/>
      <c r="I59" s="201"/>
      <c r="J59" s="201"/>
      <c r="K59" s="196"/>
      <c r="L59" s="201"/>
      <c r="M59" s="201"/>
    </row>
    <row r="60" spans="1:13" ht="12" customHeight="1" x14ac:dyDescent="0.2">
      <c r="A60" s="197"/>
      <c r="B60" s="409" t="s">
        <v>23</v>
      </c>
      <c r="C60" s="409"/>
      <c r="D60" s="198"/>
      <c r="E60" s="410" t="s">
        <v>5</v>
      </c>
      <c r="F60" s="410"/>
      <c r="G60" s="219"/>
      <c r="H60" s="201"/>
      <c r="I60" s="201"/>
      <c r="J60" s="201"/>
      <c r="K60" s="196"/>
      <c r="L60" s="201"/>
      <c r="M60" s="201"/>
    </row>
    <row r="61" spans="1:13" ht="12" customHeight="1" x14ac:dyDescent="0.2">
      <c r="A61" s="197"/>
      <c r="B61" s="243"/>
      <c r="C61" s="243"/>
      <c r="D61" s="198"/>
      <c r="E61" s="244"/>
      <c r="F61" s="244"/>
      <c r="G61" s="219"/>
      <c r="H61" s="201"/>
      <c r="I61" s="201"/>
      <c r="J61" s="201"/>
      <c r="K61" s="196"/>
      <c r="L61" s="201"/>
      <c r="M61" s="201"/>
    </row>
    <row r="62" spans="1:13" ht="12" customHeight="1" x14ac:dyDescent="0.2">
      <c r="A62" s="197"/>
      <c r="B62" s="406"/>
      <c r="C62" s="406"/>
      <c r="D62" s="198"/>
      <c r="E62" s="198"/>
      <c r="F62" s="221"/>
      <c r="G62" s="201"/>
      <c r="H62" s="201"/>
      <c r="I62" s="201"/>
      <c r="J62" s="201"/>
      <c r="K62" s="196"/>
      <c r="L62" s="201"/>
      <c r="M62" s="201"/>
    </row>
    <row r="63" spans="1:13" ht="12" customHeight="1" x14ac:dyDescent="0.2">
      <c r="A63" s="199"/>
      <c r="B63" s="407" t="s">
        <v>8</v>
      </c>
      <c r="C63" s="407"/>
      <c r="D63" s="245"/>
      <c r="E63" s="245"/>
      <c r="F63" s="246"/>
      <c r="G63" s="222"/>
      <c r="H63" s="222"/>
      <c r="I63" s="222"/>
      <c r="J63" s="222"/>
      <c r="K63" s="223"/>
      <c r="L63" s="201"/>
      <c r="M63" s="201"/>
    </row>
    <row r="64" spans="1:13" ht="12" customHeight="1" x14ac:dyDescent="0.2"/>
    <row r="65" spans="5:5" ht="12" customHeight="1" x14ac:dyDescent="0.2">
      <c r="E65" s="97">
        <f>PLAN!H77</f>
        <v>1777071.06</v>
      </c>
    </row>
    <row r="66" spans="5:5" ht="12" customHeight="1" x14ac:dyDescent="0.2"/>
  </sheetData>
  <mergeCells count="84">
    <mergeCell ref="A3:K3"/>
    <mergeCell ref="A4:C4"/>
    <mergeCell ref="I4:K4"/>
    <mergeCell ref="A5:C5"/>
    <mergeCell ref="D5:H5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C29:C30"/>
    <mergeCell ref="A31:A32"/>
    <mergeCell ref="A23:A24"/>
    <mergeCell ref="B23:B24"/>
    <mergeCell ref="C23:C24"/>
    <mergeCell ref="A25:A26"/>
    <mergeCell ref="B25:B26"/>
    <mergeCell ref="C25:C26"/>
    <mergeCell ref="B31:B32"/>
    <mergeCell ref="B62:C62"/>
    <mergeCell ref="B63:C63"/>
    <mergeCell ref="E59:F59"/>
    <mergeCell ref="A27:A28"/>
    <mergeCell ref="B27:B28"/>
    <mergeCell ref="C27:C28"/>
    <mergeCell ref="A53:A54"/>
    <mergeCell ref="B53:B54"/>
    <mergeCell ref="A29:A30"/>
    <mergeCell ref="B29:B30"/>
    <mergeCell ref="B60:C60"/>
    <mergeCell ref="A45:A46"/>
    <mergeCell ref="B45:B46"/>
    <mergeCell ref="C45:C46"/>
    <mergeCell ref="A47:A48"/>
    <mergeCell ref="E60:F60"/>
    <mergeCell ref="B33:B34"/>
    <mergeCell ref="C33:C34"/>
    <mergeCell ref="A35:A36"/>
    <mergeCell ref="B35:B36"/>
    <mergeCell ref="C35:C36"/>
    <mergeCell ref="A39:A40"/>
    <mergeCell ref="A55:C56"/>
    <mergeCell ref="C53:C54"/>
    <mergeCell ref="A41:A42"/>
    <mergeCell ref="B41:B42"/>
    <mergeCell ref="C41:C42"/>
    <mergeCell ref="A51:A52"/>
    <mergeCell ref="B51:B52"/>
    <mergeCell ref="C51:C52"/>
    <mergeCell ref="A2:K2"/>
    <mergeCell ref="B47:B48"/>
    <mergeCell ref="C47:C48"/>
    <mergeCell ref="A49:A50"/>
    <mergeCell ref="B49:B50"/>
    <mergeCell ref="C49:C50"/>
    <mergeCell ref="B39:B40"/>
    <mergeCell ref="C39:C40"/>
    <mergeCell ref="C31:C32"/>
    <mergeCell ref="A33:A34"/>
    <mergeCell ref="A37:A38"/>
    <mergeCell ref="B37:B38"/>
    <mergeCell ref="C37:C38"/>
    <mergeCell ref="A43:A44"/>
    <mergeCell ref="B43:B44"/>
    <mergeCell ref="C43:C44"/>
  </mergeCells>
  <phoneticPr fontId="14" type="noConversion"/>
  <printOptions horizontalCentered="1"/>
  <pageMargins left="0.19685039370078741" right="0.19685039370078741" top="0.19685039370078741" bottom="0.19685039370078741" header="0.19685039370078741" footer="0"/>
  <pageSetup paperSize="9" scale="74" orientation="landscape" horizontalDpi="300" verticalDpi="300" r:id="rId1"/>
  <headerFooter alignWithMargins="0"/>
  <ignoredErrors>
    <ignoredError sqref="E8 E10 E14 E16 E18 E20 E22 E24 E26 E2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7FC4-2663-4510-A700-58D734AD3D22}">
  <sheetPr codeName="Planilha6"/>
  <dimension ref="A1:M66"/>
  <sheetViews>
    <sheetView showGridLines="0" showZeros="0" view="pageBreakPreview" zoomScaleNormal="75" zoomScaleSheetLayoutView="100" workbookViewId="0">
      <pane ySplit="5" topLeftCell="A10" activePane="bottomLeft" state="frozen"/>
      <selection pane="bottomLeft" activeCell="K29" sqref="K29"/>
    </sheetView>
  </sheetViews>
  <sheetFormatPr defaultColWidth="9.140625" defaultRowHeight="12.75" x14ac:dyDescent="0.2"/>
  <cols>
    <col min="1" max="1" width="10.5703125" style="5" customWidth="1"/>
    <col min="2" max="2" width="10.28515625" style="5" customWidth="1"/>
    <col min="3" max="3" width="40.5703125" style="5" customWidth="1"/>
    <col min="4" max="5" width="14.7109375" style="6" customWidth="1"/>
    <col min="6" max="11" width="14.7109375" style="5" customWidth="1"/>
    <col min="12" max="12" width="11.42578125" style="5" customWidth="1"/>
    <col min="13" max="13" width="11.7109375" style="5" customWidth="1"/>
    <col min="14" max="16384" width="9.140625" style="5"/>
  </cols>
  <sheetData>
    <row r="1" spans="1:13" x14ac:dyDescent="0.2">
      <c r="F1" s="96">
        <f t="shared" ref="F1:K1" si="0">F55</f>
        <v>0.08</v>
      </c>
      <c r="G1" s="96">
        <f t="shared" si="0"/>
        <v>0.08</v>
      </c>
      <c r="H1" s="96">
        <f t="shared" si="0"/>
        <v>0.08</v>
      </c>
      <c r="I1" s="96">
        <f t="shared" si="0"/>
        <v>0.08</v>
      </c>
      <c r="J1" s="96">
        <f t="shared" si="0"/>
        <v>0.08</v>
      </c>
      <c r="K1" s="96">
        <f t="shared" si="0"/>
        <v>0.11939999999999999</v>
      </c>
    </row>
    <row r="2" spans="1:13" ht="54.6" customHeight="1" x14ac:dyDescent="0.2">
      <c r="A2" s="385"/>
      <c r="B2" s="386"/>
      <c r="C2" s="386"/>
      <c r="D2" s="386"/>
      <c r="E2" s="386"/>
      <c r="F2" s="386"/>
      <c r="G2" s="386"/>
      <c r="H2" s="386"/>
      <c r="I2" s="386"/>
      <c r="J2" s="386"/>
      <c r="K2" s="387"/>
    </row>
    <row r="3" spans="1:13" s="7" customFormat="1" ht="14.1" customHeight="1" x14ac:dyDescent="0.2">
      <c r="A3" s="413" t="s">
        <v>15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200"/>
      <c r="M3" s="200"/>
    </row>
    <row r="4" spans="1:13" s="7" customFormat="1" ht="14.1" customHeight="1" x14ac:dyDescent="0.2">
      <c r="A4" s="414" t="s">
        <v>25</v>
      </c>
      <c r="B4" s="415"/>
      <c r="C4" s="416"/>
      <c r="D4" s="248" t="s">
        <v>27</v>
      </c>
      <c r="E4" s="249">
        <f>PLAN!H77</f>
        <v>1777071.06</v>
      </c>
      <c r="F4" s="249"/>
      <c r="G4" s="250"/>
      <c r="H4" s="251"/>
      <c r="I4" s="417" t="str">
        <f>PLAN!H4</f>
        <v>DATA: 02/09/26</v>
      </c>
      <c r="J4" s="417"/>
      <c r="K4" s="417"/>
      <c r="L4" s="200"/>
      <c r="M4" s="200"/>
    </row>
    <row r="5" spans="1:13" s="7" customFormat="1" ht="13.9" customHeight="1" x14ac:dyDescent="0.2">
      <c r="A5" s="418" t="str">
        <f>PLAN!A4</f>
        <v>OBRA: SISTEMA DE REGISTRO DE PREÇOS P/ EXECUÇÃO DE SERVIÇOS DIVERSOS DE ENGENHARIA</v>
      </c>
      <c r="B5" s="419"/>
      <c r="C5" s="420"/>
      <c r="D5" s="421" t="str">
        <f>PLAN!A5</f>
        <v>LOCAL: VIAS PÚBLICAS DIVERSAS DO MUNICÍPIO DE SANTA CRUZ DO ESCALVADO (MG)</v>
      </c>
      <c r="E5" s="421"/>
      <c r="F5" s="421"/>
      <c r="G5" s="421"/>
      <c r="H5" s="421"/>
      <c r="I5" s="262" t="str">
        <f>PLAN!A7</f>
        <v xml:space="preserve">PRAZO EXECUÇÃO:  </v>
      </c>
      <c r="J5" s="263" t="str">
        <f>PLAN!C7</f>
        <v>12 (doze) meses</v>
      </c>
      <c r="K5" s="264"/>
      <c r="L5" s="200"/>
      <c r="M5" s="200"/>
    </row>
    <row r="6" spans="1:13" ht="27" customHeight="1" x14ac:dyDescent="0.2">
      <c r="A6" s="187" t="s">
        <v>0</v>
      </c>
      <c r="B6" s="187" t="s">
        <v>3</v>
      </c>
      <c r="C6" s="188" t="s">
        <v>16</v>
      </c>
      <c r="D6" s="189" t="s">
        <v>17</v>
      </c>
      <c r="E6" s="189" t="s">
        <v>18</v>
      </c>
      <c r="F6" s="187" t="s">
        <v>341</v>
      </c>
      <c r="G6" s="187" t="s">
        <v>342</v>
      </c>
      <c r="H6" s="187" t="s">
        <v>343</v>
      </c>
      <c r="I6" s="187" t="s">
        <v>344</v>
      </c>
      <c r="J6" s="187" t="s">
        <v>345</v>
      </c>
      <c r="K6" s="187" t="s">
        <v>346</v>
      </c>
      <c r="L6" s="201"/>
      <c r="M6" s="201"/>
    </row>
    <row r="7" spans="1:13" ht="12" customHeight="1" x14ac:dyDescent="0.2">
      <c r="A7" s="392">
        <f>CRON1!A7</f>
        <v>1</v>
      </c>
      <c r="B7" s="411"/>
      <c r="C7" s="390" t="str">
        <f>CRON1!C7</f>
        <v>ADMINISTRAÇÃO LOCAL</v>
      </c>
      <c r="D7" s="190" t="s">
        <v>19</v>
      </c>
      <c r="E7" s="202">
        <f>(E8/$E$56)</f>
        <v>3.9567018430266103E-2</v>
      </c>
      <c r="F7" s="202">
        <v>0.08</v>
      </c>
      <c r="G7" s="202">
        <v>0.08</v>
      </c>
      <c r="H7" s="202">
        <v>0.08</v>
      </c>
      <c r="I7" s="203">
        <v>0.08</v>
      </c>
      <c r="J7" s="202">
        <v>0.08</v>
      </c>
      <c r="K7" s="202">
        <v>0.1195</v>
      </c>
      <c r="L7" s="204">
        <f>SUM(F7:K7)+CRON1!L7</f>
        <v>1</v>
      </c>
      <c r="M7" s="201"/>
    </row>
    <row r="8" spans="1:13" ht="12" customHeight="1" x14ac:dyDescent="0.2">
      <c r="A8" s="393"/>
      <c r="B8" s="412"/>
      <c r="C8" s="391"/>
      <c r="D8" s="191" t="s">
        <v>20</v>
      </c>
      <c r="E8" s="205">
        <f>CRON1!E8</f>
        <v>61365.52</v>
      </c>
      <c r="F8" s="205">
        <f>ROUND(F7*E8,2)</f>
        <v>4909.24</v>
      </c>
      <c r="G8" s="205">
        <f>ROUND(G7*E8,2)</f>
        <v>4909.24</v>
      </c>
      <c r="H8" s="205">
        <f>ROUND(H7*E8,2)</f>
        <v>4909.24</v>
      </c>
      <c r="I8" s="205">
        <f>ROUND(I7*E8,2)</f>
        <v>4909.24</v>
      </c>
      <c r="J8" s="205">
        <f>ROUND(J7*E8,2)</f>
        <v>4909.24</v>
      </c>
      <c r="K8" s="205">
        <f>ROUND(K7*E8,2)+0.02</f>
        <v>7333.2000000000007</v>
      </c>
      <c r="L8" s="206">
        <f>SUM(F8:K8)+CRON1!L8</f>
        <v>61365.51999999999</v>
      </c>
      <c r="M8" s="206">
        <f>L8-E8</f>
        <v>0</v>
      </c>
    </row>
    <row r="9" spans="1:13" ht="12" customHeight="1" x14ac:dyDescent="0.2">
      <c r="A9" s="392">
        <f>CRON1!A9</f>
        <v>2</v>
      </c>
      <c r="B9" s="411"/>
      <c r="C9" s="390" t="str">
        <f>CRON1!C9</f>
        <v>SERVIÇOS PRELIMINARES</v>
      </c>
      <c r="D9" s="190" t="s">
        <v>19</v>
      </c>
      <c r="E9" s="202">
        <f>(E10/$E$56)</f>
        <v>2.2893979871612964E-2</v>
      </c>
      <c r="F9" s="202">
        <v>8.1500000000000003E-2</v>
      </c>
      <c r="G9" s="202">
        <v>8.1500000000000003E-2</v>
      </c>
      <c r="H9" s="202">
        <v>8.1500000000000003E-2</v>
      </c>
      <c r="I9" s="203">
        <v>8.1500000000000003E-2</v>
      </c>
      <c r="J9" s="202">
        <v>8.1500000000000003E-2</v>
      </c>
      <c r="K9" s="202">
        <v>8.1600000000000006E-2</v>
      </c>
      <c r="L9" s="204">
        <f>SUM(F9:K9)+CRON1!L9</f>
        <v>1</v>
      </c>
      <c r="M9" s="201"/>
    </row>
    <row r="10" spans="1:13" ht="12" customHeight="1" x14ac:dyDescent="0.2">
      <c r="A10" s="393"/>
      <c r="B10" s="412"/>
      <c r="C10" s="391"/>
      <c r="D10" s="191" t="s">
        <v>20</v>
      </c>
      <c r="E10" s="205">
        <f>CRON1!E10</f>
        <v>35506.870000000003</v>
      </c>
      <c r="F10" s="205">
        <f>ROUND(F9*E10,2)</f>
        <v>2893.81</v>
      </c>
      <c r="G10" s="205">
        <f>ROUND(G9*E10,2)</f>
        <v>2893.81</v>
      </c>
      <c r="H10" s="205">
        <f>ROUND(H9*E10,2)</f>
        <v>2893.81</v>
      </c>
      <c r="I10" s="205">
        <f>ROUND(I9*E10,2)</f>
        <v>2893.81</v>
      </c>
      <c r="J10" s="205">
        <f>ROUND(J9*E10,2)</f>
        <v>2893.81</v>
      </c>
      <c r="K10" s="205">
        <f>ROUND(K9*E10,2)</f>
        <v>2897.36</v>
      </c>
      <c r="L10" s="206">
        <f>SUM(F10:K10)+CRON1!L10</f>
        <v>35506.869999999995</v>
      </c>
      <c r="M10" s="206">
        <f>L10-E10</f>
        <v>0</v>
      </c>
    </row>
    <row r="11" spans="1:13" ht="12" customHeight="1" x14ac:dyDescent="0.2">
      <c r="A11" s="392">
        <f>CRON1!A11</f>
        <v>3</v>
      </c>
      <c r="B11" s="411"/>
      <c r="C11" s="390" t="str">
        <f>CRON1!C11</f>
        <v>SERVIÇOS DIVERSOS</v>
      </c>
      <c r="D11" s="190" t="s">
        <v>19</v>
      </c>
      <c r="E11" s="202">
        <f>(E12/$E$56)</f>
        <v>0</v>
      </c>
      <c r="F11" s="202"/>
      <c r="G11" s="202"/>
      <c r="H11" s="202"/>
      <c r="I11" s="203"/>
      <c r="J11" s="202"/>
      <c r="K11" s="202"/>
      <c r="L11" s="204">
        <f>SUM(F11:K11)+CRON1!L11</f>
        <v>0</v>
      </c>
      <c r="M11" s="201"/>
    </row>
    <row r="12" spans="1:13" ht="12" customHeight="1" x14ac:dyDescent="0.2">
      <c r="A12" s="393"/>
      <c r="B12" s="412"/>
      <c r="C12" s="391"/>
      <c r="D12" s="191" t="s">
        <v>20</v>
      </c>
      <c r="E12" s="205">
        <f>CRON1!E12</f>
        <v>0</v>
      </c>
      <c r="F12" s="205">
        <f>ROUND(F11*E12,2)</f>
        <v>0</v>
      </c>
      <c r="G12" s="205">
        <f>ROUND(G11*E12,2)</f>
        <v>0</v>
      </c>
      <c r="H12" s="205">
        <f>ROUND(H11*E12,2)</f>
        <v>0</v>
      </c>
      <c r="I12" s="205">
        <f>ROUND(I11*E12,2)</f>
        <v>0</v>
      </c>
      <c r="J12" s="205">
        <f>ROUND(J11*E12,2)</f>
        <v>0</v>
      </c>
      <c r="K12" s="205">
        <f>ROUND(K11*E12,2)</f>
        <v>0</v>
      </c>
      <c r="L12" s="206">
        <f>SUM(F12:K12)+CRON1!L12</f>
        <v>0</v>
      </c>
      <c r="M12" s="206">
        <f>L12-E12</f>
        <v>0</v>
      </c>
    </row>
    <row r="13" spans="1:13" ht="12" customHeight="1" x14ac:dyDescent="0.2">
      <c r="A13" s="392" t="str">
        <f>CRON1!A13</f>
        <v>3.1</v>
      </c>
      <c r="B13" s="411"/>
      <c r="C13" s="390" t="str">
        <f>CRON1!C13</f>
        <v xml:space="preserve">DESLOCAMENTO E TRANSPORTE </v>
      </c>
      <c r="D13" s="190" t="s">
        <v>19</v>
      </c>
      <c r="E13" s="202">
        <f>(E14/$E$56)</f>
        <v>1.9399300054317226E-2</v>
      </c>
      <c r="F13" s="202">
        <v>0.08</v>
      </c>
      <c r="G13" s="202">
        <v>0.08</v>
      </c>
      <c r="H13" s="202">
        <v>0.08</v>
      </c>
      <c r="I13" s="203">
        <v>0.08</v>
      </c>
      <c r="J13" s="202">
        <v>0.08</v>
      </c>
      <c r="K13" s="202">
        <v>0.12</v>
      </c>
      <c r="L13" s="204">
        <f>SUM(F13:K13)+CRON1!L13</f>
        <v>1</v>
      </c>
      <c r="M13" s="201"/>
    </row>
    <row r="14" spans="1:13" ht="12" customHeight="1" x14ac:dyDescent="0.2">
      <c r="A14" s="393"/>
      <c r="B14" s="412"/>
      <c r="C14" s="391"/>
      <c r="D14" s="191" t="s">
        <v>20</v>
      </c>
      <c r="E14" s="205">
        <f>CRON1!E14</f>
        <v>30086.880000000001</v>
      </c>
      <c r="F14" s="205">
        <f>ROUND(F13*E14,2)</f>
        <v>2406.9499999999998</v>
      </c>
      <c r="G14" s="205">
        <f>ROUND(G13*E14,2)</f>
        <v>2406.9499999999998</v>
      </c>
      <c r="H14" s="205">
        <f>ROUND(H13*E14,2)</f>
        <v>2406.9499999999998</v>
      </c>
      <c r="I14" s="205">
        <f>ROUND(I13*E14,2)</f>
        <v>2406.9499999999998</v>
      </c>
      <c r="J14" s="205">
        <f>ROUND(J13*E14,2)</f>
        <v>2406.9499999999998</v>
      </c>
      <c r="K14" s="205">
        <f>ROUND(K13*E14,2)</f>
        <v>3610.43</v>
      </c>
      <c r="L14" s="206">
        <f>SUM(F14:K14)+CRON1!L14</f>
        <v>30086.880000000001</v>
      </c>
      <c r="M14" s="206">
        <f>L14-E14</f>
        <v>0</v>
      </c>
    </row>
    <row r="15" spans="1:13" ht="12" customHeight="1" x14ac:dyDescent="0.2">
      <c r="A15" s="392" t="str">
        <f>CRON1!A15</f>
        <v>3.2</v>
      </c>
      <c r="B15" s="388"/>
      <c r="C15" s="390" t="str">
        <f>CRON1!C15</f>
        <v>RECOMPOSIÇÃO DE CALÇAMENTO EXISTENTE</v>
      </c>
      <c r="D15" s="190" t="s">
        <v>19</v>
      </c>
      <c r="E15" s="202">
        <f>(E16/$E$56)</f>
        <v>0.56524438050902304</v>
      </c>
      <c r="F15" s="202">
        <v>0.08</v>
      </c>
      <c r="G15" s="202">
        <v>0.08</v>
      </c>
      <c r="H15" s="202">
        <v>0.08</v>
      </c>
      <c r="I15" s="203">
        <v>0.08</v>
      </c>
      <c r="J15" s="202">
        <v>0.08</v>
      </c>
      <c r="K15" s="202">
        <v>0.12</v>
      </c>
      <c r="L15" s="204">
        <f>SUM(F15:K15)+CRON1!L15</f>
        <v>1</v>
      </c>
      <c r="M15" s="201"/>
    </row>
    <row r="16" spans="1:13" ht="12" customHeight="1" x14ac:dyDescent="0.2">
      <c r="A16" s="393"/>
      <c r="B16" s="389"/>
      <c r="C16" s="391"/>
      <c r="D16" s="191" t="s">
        <v>20</v>
      </c>
      <c r="E16" s="205">
        <f>CRON1!E16</f>
        <v>876652.24</v>
      </c>
      <c r="F16" s="205">
        <f>ROUND(F15*E16,2)</f>
        <v>70132.179999999993</v>
      </c>
      <c r="G16" s="205">
        <f>ROUND(G15*E16,2)</f>
        <v>70132.179999999993</v>
      </c>
      <c r="H16" s="205">
        <f>ROUND(H15*E16,2)</f>
        <v>70132.179999999993</v>
      </c>
      <c r="I16" s="205">
        <f>ROUND(I15*E16,2)</f>
        <v>70132.179999999993</v>
      </c>
      <c r="J16" s="205">
        <f>ROUND(J15*E16,2)</f>
        <v>70132.179999999993</v>
      </c>
      <c r="K16" s="205">
        <f>ROUND(K15*E16,2)-0.01</f>
        <v>105198.26000000001</v>
      </c>
      <c r="L16" s="206">
        <f>SUM(F16:K16)+CRON1!L16</f>
        <v>876652.24</v>
      </c>
      <c r="M16" s="206">
        <f>L16-E16</f>
        <v>0</v>
      </c>
    </row>
    <row r="17" spans="1:13" ht="12" customHeight="1" x14ac:dyDescent="0.2">
      <c r="A17" s="392" t="str">
        <f>CRON1!A17</f>
        <v>3.3</v>
      </c>
      <c r="B17" s="388"/>
      <c r="C17" s="390" t="str">
        <f>CRON1!C17</f>
        <v>EXECUÇÃO DE QUEBRA-MOLAS</v>
      </c>
      <c r="D17" s="190" t="s">
        <v>19</v>
      </c>
      <c r="E17" s="202">
        <f>(E18/$E$56)</f>
        <v>5.215041005887798E-2</v>
      </c>
      <c r="F17" s="202">
        <v>0.08</v>
      </c>
      <c r="G17" s="202">
        <v>0.08</v>
      </c>
      <c r="H17" s="202">
        <v>0.08</v>
      </c>
      <c r="I17" s="203">
        <v>0.08</v>
      </c>
      <c r="J17" s="202">
        <v>0.08</v>
      </c>
      <c r="K17" s="202">
        <v>0.12</v>
      </c>
      <c r="L17" s="204">
        <f>SUM(F17:K17)+CRON1!L17</f>
        <v>1</v>
      </c>
      <c r="M17" s="201"/>
    </row>
    <row r="18" spans="1:13" ht="12" customHeight="1" x14ac:dyDescent="0.2">
      <c r="A18" s="393"/>
      <c r="B18" s="389"/>
      <c r="C18" s="391"/>
      <c r="D18" s="191" t="s">
        <v>20</v>
      </c>
      <c r="E18" s="205">
        <f>CRON1!E18</f>
        <v>80881.429999999993</v>
      </c>
      <c r="F18" s="205">
        <f>ROUND(F17*E18,2)</f>
        <v>6470.51</v>
      </c>
      <c r="G18" s="205">
        <f>ROUND(G17*E18,2)</f>
        <v>6470.51</v>
      </c>
      <c r="H18" s="205">
        <f>ROUND(H17*E18,2)</f>
        <v>6470.51</v>
      </c>
      <c r="I18" s="205">
        <f>ROUND(I17*E18,2)</f>
        <v>6470.51</v>
      </c>
      <c r="J18" s="205">
        <f>ROUND(J17*E18,2)</f>
        <v>6470.51</v>
      </c>
      <c r="K18" s="205">
        <f>ROUND(K17*E18,2)+0.05</f>
        <v>9705.82</v>
      </c>
      <c r="L18" s="206">
        <f>SUM(F18:K18)+CRON1!L18</f>
        <v>80881.430000000008</v>
      </c>
      <c r="M18" s="206">
        <f>L18-E18</f>
        <v>0</v>
      </c>
    </row>
    <row r="19" spans="1:13" ht="12" customHeight="1" x14ac:dyDescent="0.2">
      <c r="A19" s="392" t="str">
        <f>CRON1!A19</f>
        <v>3.4</v>
      </c>
      <c r="B19" s="388"/>
      <c r="C19" s="390" t="str">
        <f>CRON1!C19</f>
        <v>TRAVAMENTO EXTERNO DE MEIO-FIOS EXISTENTES</v>
      </c>
      <c r="D19" s="190" t="s">
        <v>19</v>
      </c>
      <c r="E19" s="202">
        <f>(E20/$E$56)</f>
        <v>4.218769784550528E-2</v>
      </c>
      <c r="F19" s="202">
        <v>0.08</v>
      </c>
      <c r="G19" s="202">
        <v>0.08</v>
      </c>
      <c r="H19" s="202">
        <v>0.08</v>
      </c>
      <c r="I19" s="203">
        <v>0.08</v>
      </c>
      <c r="J19" s="202">
        <v>0.08</v>
      </c>
      <c r="K19" s="202">
        <v>0.12</v>
      </c>
      <c r="L19" s="204">
        <f>SUM(F19:K19)+CRON1!L19</f>
        <v>1</v>
      </c>
      <c r="M19" s="201"/>
    </row>
    <row r="20" spans="1:13" ht="12" customHeight="1" x14ac:dyDescent="0.2">
      <c r="A20" s="393"/>
      <c r="B20" s="389"/>
      <c r="C20" s="391"/>
      <c r="D20" s="191" t="s">
        <v>20</v>
      </c>
      <c r="E20" s="205">
        <f>CRON1!E20</f>
        <v>65430</v>
      </c>
      <c r="F20" s="205">
        <f>ROUND(F19*E20,2)</f>
        <v>5234.3999999999996</v>
      </c>
      <c r="G20" s="205">
        <f>ROUND(G19*E20,2)</f>
        <v>5234.3999999999996</v>
      </c>
      <c r="H20" s="205">
        <f>ROUND(H19*E20,2)</f>
        <v>5234.3999999999996</v>
      </c>
      <c r="I20" s="205">
        <f>ROUND(I19*E20,2)</f>
        <v>5234.3999999999996</v>
      </c>
      <c r="J20" s="205">
        <f>ROUND(J19*E20,2)</f>
        <v>5234.3999999999996</v>
      </c>
      <c r="K20" s="205">
        <f>ROUND(K19*E20,2)</f>
        <v>7851.6</v>
      </c>
      <c r="L20" s="206">
        <f>SUM(F20:K20)+CRON1!L20</f>
        <v>65430</v>
      </c>
      <c r="M20" s="206">
        <f>L20-E20</f>
        <v>0</v>
      </c>
    </row>
    <row r="21" spans="1:13" ht="12" customHeight="1" x14ac:dyDescent="0.2">
      <c r="A21" s="392" t="str">
        <f>CRON1!A21</f>
        <v>3.5</v>
      </c>
      <c r="B21" s="396"/>
      <c r="C21" s="390" t="str">
        <f>CRON1!C21</f>
        <v>DRENAGEM PLUVIAL</v>
      </c>
      <c r="D21" s="192" t="s">
        <v>19</v>
      </c>
      <c r="E21" s="202">
        <f>(E22/$E$56)</f>
        <v>9.8879239929723028E-2</v>
      </c>
      <c r="F21" s="202">
        <v>0.08</v>
      </c>
      <c r="G21" s="202">
        <v>0.08</v>
      </c>
      <c r="H21" s="202">
        <v>0.08</v>
      </c>
      <c r="I21" s="203">
        <v>0.08</v>
      </c>
      <c r="J21" s="202">
        <v>0.08</v>
      </c>
      <c r="K21" s="202">
        <v>0.12</v>
      </c>
      <c r="L21" s="204">
        <f>SUM(F21:K21)+CRON1!L21</f>
        <v>1</v>
      </c>
      <c r="M21" s="201"/>
    </row>
    <row r="22" spans="1:13" ht="12" customHeight="1" x14ac:dyDescent="0.2">
      <c r="A22" s="393"/>
      <c r="B22" s="397"/>
      <c r="C22" s="391"/>
      <c r="D22" s="193" t="s">
        <v>20</v>
      </c>
      <c r="E22" s="205">
        <f>CRON1!E22</f>
        <v>153354.39000000001</v>
      </c>
      <c r="F22" s="205">
        <f>ROUND(F21*E22,2)</f>
        <v>12268.35</v>
      </c>
      <c r="G22" s="205">
        <f>ROUND(G21*E22,2)</f>
        <v>12268.35</v>
      </c>
      <c r="H22" s="205">
        <f>ROUND(H21*E22,2)</f>
        <v>12268.35</v>
      </c>
      <c r="I22" s="205">
        <f>ROUND(I21*E22,2)</f>
        <v>12268.35</v>
      </c>
      <c r="J22" s="205">
        <f>ROUND(J21*E22,2)</f>
        <v>12268.35</v>
      </c>
      <c r="K22" s="205">
        <f>ROUND(K21*E22,2)+0.01</f>
        <v>18402.539999999997</v>
      </c>
      <c r="L22" s="206">
        <f>SUM(F22:K22)+CRON1!L22</f>
        <v>153354.39000000001</v>
      </c>
      <c r="M22" s="206">
        <f>L22-E22</f>
        <v>0</v>
      </c>
    </row>
    <row r="23" spans="1:13" ht="12" customHeight="1" x14ac:dyDescent="0.2">
      <c r="A23" s="392" t="str">
        <f>CRON1!A23</f>
        <v>3.6</v>
      </c>
      <c r="B23" s="388"/>
      <c r="C23" s="390" t="str">
        <f>CRON1!C23</f>
        <v>CERCAMENTO EM MOURÕES DE MADEIRA E ARAME FARPADO</v>
      </c>
      <c r="D23" s="190" t="s">
        <v>19</v>
      </c>
      <c r="E23" s="202">
        <f>(E24/$E$56)</f>
        <v>2.3243725751825976E-2</v>
      </c>
      <c r="F23" s="202">
        <v>0.08</v>
      </c>
      <c r="G23" s="202">
        <v>0.08</v>
      </c>
      <c r="H23" s="202">
        <v>0.08</v>
      </c>
      <c r="I23" s="203">
        <v>0.08</v>
      </c>
      <c r="J23" s="202">
        <v>0.08</v>
      </c>
      <c r="K23" s="202">
        <v>0.12</v>
      </c>
      <c r="L23" s="204">
        <f>SUM(F23:K23)+CRON1!L23</f>
        <v>1</v>
      </c>
      <c r="M23" s="201"/>
    </row>
    <row r="24" spans="1:13" ht="12" customHeight="1" x14ac:dyDescent="0.2">
      <c r="A24" s="393"/>
      <c r="B24" s="389"/>
      <c r="C24" s="391"/>
      <c r="D24" s="191" t="s">
        <v>20</v>
      </c>
      <c r="E24" s="205">
        <f>CRON1!E24</f>
        <v>36049.300000000003</v>
      </c>
      <c r="F24" s="205">
        <f>ROUND(F23*E24,2)</f>
        <v>2883.94</v>
      </c>
      <c r="G24" s="205">
        <f>ROUND(G23*E24,2)</f>
        <v>2883.94</v>
      </c>
      <c r="H24" s="205">
        <f>ROUND(H23*E24,2)</f>
        <v>2883.94</v>
      </c>
      <c r="I24" s="205">
        <f>ROUND(I23*E24,2)</f>
        <v>2883.94</v>
      </c>
      <c r="J24" s="205">
        <f>ROUND(J23*E24,2)</f>
        <v>2883.94</v>
      </c>
      <c r="K24" s="205">
        <f>ROUND(K23*E24,2)+0.04</f>
        <v>4325.96</v>
      </c>
      <c r="L24" s="206">
        <f>SUM(F24:K24)+CRON1!L24</f>
        <v>36049.300000000003</v>
      </c>
      <c r="M24" s="206">
        <f>L24-E24</f>
        <v>0</v>
      </c>
    </row>
    <row r="25" spans="1:13" ht="12" customHeight="1" x14ac:dyDescent="0.2">
      <c r="A25" s="392" t="str">
        <f>CRON1!A25</f>
        <v>3.7</v>
      </c>
      <c r="B25" s="396"/>
      <c r="C25" s="390" t="str">
        <f>CRON1!C25</f>
        <v>PASSEIOS DE CONCRETO P/ ESCOAMENTO DAS ÁGUAS PLUVIAIS DOS TALUDES</v>
      </c>
      <c r="D25" s="192" t="s">
        <v>19</v>
      </c>
      <c r="E25" s="202">
        <f>(E26/$E$56)</f>
        <v>5.0418264298170345E-3</v>
      </c>
      <c r="F25" s="202">
        <v>0.08</v>
      </c>
      <c r="G25" s="202">
        <v>0.08</v>
      </c>
      <c r="H25" s="202">
        <v>0.08</v>
      </c>
      <c r="I25" s="203">
        <v>0.08</v>
      </c>
      <c r="J25" s="202">
        <v>0.08</v>
      </c>
      <c r="K25" s="202">
        <v>0.12</v>
      </c>
      <c r="L25" s="204">
        <f>SUM(F25:K25)+CRON1!L25</f>
        <v>1</v>
      </c>
      <c r="M25" s="201"/>
    </row>
    <row r="26" spans="1:13" ht="12" customHeight="1" x14ac:dyDescent="0.2">
      <c r="A26" s="393"/>
      <c r="B26" s="397"/>
      <c r="C26" s="391"/>
      <c r="D26" s="193" t="s">
        <v>20</v>
      </c>
      <c r="E26" s="205">
        <f>CRON1!E26</f>
        <v>7819.5</v>
      </c>
      <c r="F26" s="205">
        <f>ROUND(F25*E26,2)</f>
        <v>625.55999999999995</v>
      </c>
      <c r="G26" s="205">
        <f>ROUND(G25*E26,2)</f>
        <v>625.55999999999995</v>
      </c>
      <c r="H26" s="205">
        <f>ROUND(H25*E26,2)</f>
        <v>625.55999999999995</v>
      </c>
      <c r="I26" s="205">
        <f>ROUND(I25*E26,2)</f>
        <v>625.55999999999995</v>
      </c>
      <c r="J26" s="205">
        <f>ROUND(J25*E26,2)</f>
        <v>625.55999999999995</v>
      </c>
      <c r="K26" s="205">
        <f>ROUND(K25*E26,2)</f>
        <v>938.34</v>
      </c>
      <c r="L26" s="206">
        <f>SUM(F26:K26)+CRON1!L26</f>
        <v>7819.5</v>
      </c>
      <c r="M26" s="206">
        <f>L26-E26</f>
        <v>0</v>
      </c>
    </row>
    <row r="27" spans="1:13" ht="12" customHeight="1" x14ac:dyDescent="0.2">
      <c r="A27" s="392" t="str">
        <f>CRON1!A27</f>
        <v>3.8</v>
      </c>
      <c r="B27" s="388"/>
      <c r="C27" s="390" t="str">
        <f>CRON1!C27</f>
        <v>LIMPEZA GERAL E OUTROS SERVIÇOS EM VIAS PÚBLICAS</v>
      </c>
      <c r="D27" s="190" t="s">
        <v>19</v>
      </c>
      <c r="E27" s="202">
        <f>(E28/$E$56)</f>
        <v>0.13139242111903129</v>
      </c>
      <c r="F27" s="202">
        <v>0.08</v>
      </c>
      <c r="G27" s="202">
        <v>0.08</v>
      </c>
      <c r="H27" s="202">
        <v>0.08</v>
      </c>
      <c r="I27" s="203">
        <v>0.08</v>
      </c>
      <c r="J27" s="202">
        <v>0.08</v>
      </c>
      <c r="K27" s="202">
        <v>0.12</v>
      </c>
      <c r="L27" s="204">
        <f>SUM(F27:K27)+CRON1!L27</f>
        <v>1</v>
      </c>
      <c r="M27" s="201"/>
    </row>
    <row r="28" spans="1:13" ht="12" customHeight="1" x14ac:dyDescent="0.2">
      <c r="A28" s="393"/>
      <c r="B28" s="389"/>
      <c r="C28" s="391"/>
      <c r="D28" s="191" t="s">
        <v>20</v>
      </c>
      <c r="E28" s="205">
        <f>CRON1!E28</f>
        <v>203779.93</v>
      </c>
      <c r="F28" s="205">
        <f>ROUND(F27*E28,2)</f>
        <v>16302.39</v>
      </c>
      <c r="G28" s="205">
        <f>ROUND(G27*E28,2)</f>
        <v>16302.39</v>
      </c>
      <c r="H28" s="205">
        <f>ROUND(H27*E28,2)</f>
        <v>16302.39</v>
      </c>
      <c r="I28" s="205">
        <f>ROUND(I27*E28,2)</f>
        <v>16302.39</v>
      </c>
      <c r="J28" s="205">
        <f>ROUND(J27*E28,2)</f>
        <v>16302.39</v>
      </c>
      <c r="K28" s="205">
        <f>ROUND(K27*E28,2)+0.05</f>
        <v>24453.64</v>
      </c>
      <c r="L28" s="206">
        <f>SUM(F28:K28)+CRON1!L28</f>
        <v>203779.93</v>
      </c>
      <c r="M28" s="206">
        <f>L28-E28</f>
        <v>0</v>
      </c>
    </row>
    <row r="29" spans="1:13" ht="12" customHeight="1" x14ac:dyDescent="0.2">
      <c r="A29" s="394"/>
      <c r="B29" s="396"/>
      <c r="C29" s="398"/>
      <c r="D29" s="192" t="s">
        <v>19</v>
      </c>
      <c r="E29" s="202">
        <f>(E30/$E$56)</f>
        <v>0</v>
      </c>
      <c r="F29" s="209"/>
      <c r="G29" s="209"/>
      <c r="H29" s="209"/>
      <c r="I29" s="210"/>
      <c r="J29" s="209"/>
      <c r="K29" s="209"/>
      <c r="L29" s="204">
        <f>SUM(F29:K29)+CRON1!L29</f>
        <v>0</v>
      </c>
      <c r="M29" s="201"/>
    </row>
    <row r="30" spans="1:13" ht="12" customHeight="1" x14ac:dyDescent="0.2">
      <c r="A30" s="395"/>
      <c r="B30" s="397"/>
      <c r="C30" s="399"/>
      <c r="D30" s="193" t="s">
        <v>20</v>
      </c>
      <c r="E30" s="205"/>
      <c r="F30" s="205">
        <f>ROUND(F29*E30,2)</f>
        <v>0</v>
      </c>
      <c r="G30" s="205">
        <f>ROUND(G29*E30,2)</f>
        <v>0</v>
      </c>
      <c r="H30" s="205">
        <f>ROUND(H29*E30,2)</f>
        <v>0</v>
      </c>
      <c r="I30" s="205">
        <f>ROUND(I29*E30,2)</f>
        <v>0</v>
      </c>
      <c r="J30" s="205">
        <f>ROUND(J29*E30,2)</f>
        <v>0</v>
      </c>
      <c r="K30" s="205">
        <f>ROUND(K29*E30,2)</f>
        <v>0</v>
      </c>
      <c r="L30" s="206">
        <f>SUM(F30:K30)+CRON1!L30</f>
        <v>0</v>
      </c>
      <c r="M30" s="206">
        <f>L30-E30</f>
        <v>0</v>
      </c>
    </row>
    <row r="31" spans="1:13" ht="12" customHeight="1" x14ac:dyDescent="0.2">
      <c r="A31" s="392"/>
      <c r="B31" s="388"/>
      <c r="C31" s="390"/>
      <c r="D31" s="190" t="s">
        <v>19</v>
      </c>
      <c r="E31" s="202">
        <f>(E32/$E$56)</f>
        <v>0</v>
      </c>
      <c r="F31" s="208"/>
      <c r="G31" s="208"/>
      <c r="H31" s="208"/>
      <c r="I31" s="207"/>
      <c r="J31" s="208"/>
      <c r="K31" s="208"/>
      <c r="L31" s="204">
        <f>SUM(F31:K31)+CRON1!L31</f>
        <v>0</v>
      </c>
      <c r="M31" s="201"/>
    </row>
    <row r="32" spans="1:13" ht="12" customHeight="1" x14ac:dyDescent="0.2">
      <c r="A32" s="393"/>
      <c r="B32" s="389"/>
      <c r="C32" s="391"/>
      <c r="D32" s="191" t="s">
        <v>20</v>
      </c>
      <c r="E32" s="205"/>
      <c r="F32" s="205">
        <f>ROUND(F31*E32,2)</f>
        <v>0</v>
      </c>
      <c r="G32" s="205">
        <f>ROUND(G31*E32,2)</f>
        <v>0</v>
      </c>
      <c r="H32" s="205">
        <f>ROUND(H31*E32,2)</f>
        <v>0</v>
      </c>
      <c r="I32" s="205">
        <f>ROUND(I31*E32,2)</f>
        <v>0</v>
      </c>
      <c r="J32" s="205">
        <f>ROUND(J31*E32,2)</f>
        <v>0</v>
      </c>
      <c r="K32" s="205">
        <f>ROUND(K31*E32,2)</f>
        <v>0</v>
      </c>
      <c r="L32" s="206">
        <f>SUM(F32:K32)+CRON1!L32</f>
        <v>0</v>
      </c>
      <c r="M32" s="206">
        <f>L32-E32</f>
        <v>0</v>
      </c>
    </row>
    <row r="33" spans="1:13" ht="12" customHeight="1" x14ac:dyDescent="0.2">
      <c r="A33" s="394"/>
      <c r="B33" s="396"/>
      <c r="C33" s="398"/>
      <c r="D33" s="192" t="s">
        <v>19</v>
      </c>
      <c r="E33" s="202">
        <f>(E34/$E$56)</f>
        <v>0</v>
      </c>
      <c r="F33" s="209"/>
      <c r="G33" s="209"/>
      <c r="H33" s="209"/>
      <c r="I33" s="210"/>
      <c r="J33" s="209"/>
      <c r="K33" s="209"/>
      <c r="L33" s="204">
        <f>SUM(F33:K33)+CRON1!L33</f>
        <v>0</v>
      </c>
      <c r="M33" s="201"/>
    </row>
    <row r="34" spans="1:13" ht="12" customHeight="1" x14ac:dyDescent="0.2">
      <c r="A34" s="395"/>
      <c r="B34" s="397"/>
      <c r="C34" s="399"/>
      <c r="D34" s="193" t="s">
        <v>20</v>
      </c>
      <c r="E34" s="205"/>
      <c r="F34" s="205">
        <f>ROUND(F33*E34,2)</f>
        <v>0</v>
      </c>
      <c r="G34" s="205">
        <f>ROUND(G33*E34,2)</f>
        <v>0</v>
      </c>
      <c r="H34" s="205">
        <f>ROUND(H33*E34,2)</f>
        <v>0</v>
      </c>
      <c r="I34" s="205">
        <f>ROUND(I33*E34,2)</f>
        <v>0</v>
      </c>
      <c r="J34" s="205">
        <f>ROUND(J33*E34,2)</f>
        <v>0</v>
      </c>
      <c r="K34" s="205">
        <f>ROUND(K33*E34,2)</f>
        <v>0</v>
      </c>
      <c r="L34" s="206">
        <f>SUM(F34:K34)+CRON1!L34</f>
        <v>0</v>
      </c>
      <c r="M34" s="206">
        <f>L34-E34</f>
        <v>0</v>
      </c>
    </row>
    <row r="35" spans="1:13" ht="12" customHeight="1" x14ac:dyDescent="0.2">
      <c r="A35" s="392"/>
      <c r="B35" s="388"/>
      <c r="C35" s="390"/>
      <c r="D35" s="190" t="s">
        <v>19</v>
      </c>
      <c r="E35" s="202">
        <f>(E36/$E$56)</f>
        <v>0</v>
      </c>
      <c r="F35" s="208"/>
      <c r="G35" s="208"/>
      <c r="H35" s="208"/>
      <c r="I35" s="207"/>
      <c r="J35" s="208"/>
      <c r="K35" s="208"/>
      <c r="L35" s="204">
        <f>SUM(F35:K35)+CRON1!L35</f>
        <v>0</v>
      </c>
      <c r="M35" s="201"/>
    </row>
    <row r="36" spans="1:13" ht="12" customHeight="1" x14ac:dyDescent="0.2">
      <c r="A36" s="393"/>
      <c r="B36" s="389"/>
      <c r="C36" s="391"/>
      <c r="D36" s="191" t="s">
        <v>20</v>
      </c>
      <c r="E36" s="205"/>
      <c r="F36" s="205">
        <f>ROUND(F35*E36,2)</f>
        <v>0</v>
      </c>
      <c r="G36" s="205">
        <f>ROUND(G35*E36,2)</f>
        <v>0</v>
      </c>
      <c r="H36" s="205">
        <f>ROUND(H35*E36,2)</f>
        <v>0</v>
      </c>
      <c r="I36" s="205">
        <f>ROUND(I35*E36,2)</f>
        <v>0</v>
      </c>
      <c r="J36" s="205">
        <f>ROUND(J35*E36,2)</f>
        <v>0</v>
      </c>
      <c r="K36" s="205">
        <f>ROUND(K35*E36,2)</f>
        <v>0</v>
      </c>
      <c r="L36" s="206">
        <f>SUM(F36:K36)+CRON1!L36</f>
        <v>0</v>
      </c>
      <c r="M36" s="206">
        <f>L36-E36</f>
        <v>0</v>
      </c>
    </row>
    <row r="37" spans="1:13" ht="12" customHeight="1" x14ac:dyDescent="0.2">
      <c r="A37" s="394"/>
      <c r="B37" s="396"/>
      <c r="C37" s="398"/>
      <c r="D37" s="192" t="s">
        <v>19</v>
      </c>
      <c r="E37" s="202">
        <f>(E38/$E$56)</f>
        <v>0</v>
      </c>
      <c r="F37" s="209"/>
      <c r="G37" s="209"/>
      <c r="H37" s="209"/>
      <c r="I37" s="210"/>
      <c r="J37" s="209"/>
      <c r="K37" s="209"/>
      <c r="L37" s="204">
        <f>SUM(F37:K37)+CRON1!L37</f>
        <v>0</v>
      </c>
      <c r="M37" s="201"/>
    </row>
    <row r="38" spans="1:13" ht="12" customHeight="1" x14ac:dyDescent="0.2">
      <c r="A38" s="395"/>
      <c r="B38" s="397"/>
      <c r="C38" s="399"/>
      <c r="D38" s="193" t="s">
        <v>20</v>
      </c>
      <c r="E38" s="205"/>
      <c r="F38" s="205">
        <f>ROUND(F37*E38,2)</f>
        <v>0</v>
      </c>
      <c r="G38" s="205">
        <f>ROUND(G37*E38,2)</f>
        <v>0</v>
      </c>
      <c r="H38" s="205">
        <f>ROUND(H37*E38,2)</f>
        <v>0</v>
      </c>
      <c r="I38" s="205">
        <f>ROUND(I37*E38,2)</f>
        <v>0</v>
      </c>
      <c r="J38" s="205">
        <f>ROUND(J37*E38,2)</f>
        <v>0</v>
      </c>
      <c r="K38" s="205">
        <f>ROUND(K37*E38,2)</f>
        <v>0</v>
      </c>
      <c r="L38" s="206">
        <f>SUM(F38:K38)+CRON1!L38</f>
        <v>0</v>
      </c>
      <c r="M38" s="206">
        <f>L38-E38</f>
        <v>0</v>
      </c>
    </row>
    <row r="39" spans="1:13" ht="12" customHeight="1" x14ac:dyDescent="0.2">
      <c r="A39" s="392"/>
      <c r="B39" s="388"/>
      <c r="C39" s="390"/>
      <c r="D39" s="190" t="s">
        <v>19</v>
      </c>
      <c r="E39" s="202">
        <f>(E40/$E$56)</f>
        <v>0</v>
      </c>
      <c r="F39" s="208"/>
      <c r="G39" s="208"/>
      <c r="H39" s="208"/>
      <c r="I39" s="207"/>
      <c r="J39" s="208"/>
      <c r="K39" s="208"/>
      <c r="L39" s="204">
        <f>SUM(F39:K39)+CRON1!L39</f>
        <v>0</v>
      </c>
      <c r="M39" s="201"/>
    </row>
    <row r="40" spans="1:13" ht="12" customHeight="1" x14ac:dyDescent="0.2">
      <c r="A40" s="393"/>
      <c r="B40" s="389"/>
      <c r="C40" s="391"/>
      <c r="D40" s="191" t="s">
        <v>20</v>
      </c>
      <c r="E40" s="205"/>
      <c r="F40" s="205">
        <f>ROUND(F39*E40,2)</f>
        <v>0</v>
      </c>
      <c r="G40" s="205">
        <f>ROUND(G39*E40,2)</f>
        <v>0</v>
      </c>
      <c r="H40" s="205">
        <f>ROUND(H39*E40,2)</f>
        <v>0</v>
      </c>
      <c r="I40" s="205">
        <f>ROUND(I39*E40,2)</f>
        <v>0</v>
      </c>
      <c r="J40" s="205">
        <f>ROUND(J39*E40,2)</f>
        <v>0</v>
      </c>
      <c r="K40" s="205">
        <f>ROUND(K39*E40,2)</f>
        <v>0</v>
      </c>
      <c r="L40" s="206">
        <f>SUM(F40:K40)+CRON1!L40</f>
        <v>0</v>
      </c>
      <c r="M40" s="206">
        <f>L40-E40</f>
        <v>0</v>
      </c>
    </row>
    <row r="41" spans="1:13" ht="12" customHeight="1" x14ac:dyDescent="0.2">
      <c r="A41" s="394"/>
      <c r="B41" s="396"/>
      <c r="C41" s="398"/>
      <c r="D41" s="192" t="s">
        <v>19</v>
      </c>
      <c r="E41" s="202">
        <f>(E42/$E$56)</f>
        <v>0</v>
      </c>
      <c r="F41" s="208"/>
      <c r="G41" s="208"/>
      <c r="H41" s="208"/>
      <c r="I41" s="207"/>
      <c r="J41" s="208"/>
      <c r="K41" s="208"/>
      <c r="L41" s="204">
        <f>SUM(F41:K41)+CRON1!L41</f>
        <v>0</v>
      </c>
      <c r="M41" s="201"/>
    </row>
    <row r="42" spans="1:13" ht="12" customHeight="1" x14ac:dyDescent="0.2">
      <c r="A42" s="395"/>
      <c r="B42" s="397"/>
      <c r="C42" s="399"/>
      <c r="D42" s="193" t="s">
        <v>20</v>
      </c>
      <c r="E42" s="205"/>
      <c r="F42" s="205">
        <f>ROUND(F41*E42,2)</f>
        <v>0</v>
      </c>
      <c r="G42" s="205">
        <f>ROUND(G41*E42,2)</f>
        <v>0</v>
      </c>
      <c r="H42" s="205">
        <f>ROUND(H41*E42,2)</f>
        <v>0</v>
      </c>
      <c r="I42" s="205">
        <f>ROUND(I41*E42,2)</f>
        <v>0</v>
      </c>
      <c r="J42" s="205">
        <f>ROUND(J41*E42,2)</f>
        <v>0</v>
      </c>
      <c r="K42" s="205">
        <f>ROUND(K41*E42,2)</f>
        <v>0</v>
      </c>
      <c r="L42" s="206">
        <f>SUM(F42:K42)+CRON1!L42</f>
        <v>0</v>
      </c>
      <c r="M42" s="206">
        <f>L42-E42</f>
        <v>0</v>
      </c>
    </row>
    <row r="43" spans="1:13" ht="12" customHeight="1" x14ac:dyDescent="0.2">
      <c r="A43" s="392"/>
      <c r="B43" s="388"/>
      <c r="C43" s="390"/>
      <c r="D43" s="190" t="s">
        <v>19</v>
      </c>
      <c r="E43" s="202">
        <f>(E44/$E$56)</f>
        <v>0</v>
      </c>
      <c r="F43" s="208"/>
      <c r="G43" s="208"/>
      <c r="H43" s="208"/>
      <c r="I43" s="207"/>
      <c r="J43" s="208"/>
      <c r="K43" s="208"/>
      <c r="L43" s="204">
        <f>SUM(F43:K43)+CRON1!L43</f>
        <v>0</v>
      </c>
      <c r="M43" s="201"/>
    </row>
    <row r="44" spans="1:13" ht="12" customHeight="1" x14ac:dyDescent="0.2">
      <c r="A44" s="393"/>
      <c r="B44" s="389"/>
      <c r="C44" s="391"/>
      <c r="D44" s="191" t="s">
        <v>20</v>
      </c>
      <c r="E44" s="205"/>
      <c r="F44" s="205">
        <f>ROUND(F43*E44,2)</f>
        <v>0</v>
      </c>
      <c r="G44" s="205">
        <f>ROUND(G43*E44,2)</f>
        <v>0</v>
      </c>
      <c r="H44" s="205">
        <f>ROUND(H43*E44,2)</f>
        <v>0</v>
      </c>
      <c r="I44" s="205">
        <f>ROUND(I43*E44,2)</f>
        <v>0</v>
      </c>
      <c r="J44" s="205">
        <f>ROUND(J43*E44,2)</f>
        <v>0</v>
      </c>
      <c r="K44" s="205">
        <f>ROUND(K43*E44,2)</f>
        <v>0</v>
      </c>
      <c r="L44" s="206">
        <f>SUM(F44:K44)+CRON1!L44</f>
        <v>0</v>
      </c>
      <c r="M44" s="206">
        <f>L44-E44</f>
        <v>0</v>
      </c>
    </row>
    <row r="45" spans="1:13" ht="12" customHeight="1" x14ac:dyDescent="0.2">
      <c r="A45" s="392"/>
      <c r="B45" s="388"/>
      <c r="C45" s="390"/>
      <c r="D45" s="190" t="s">
        <v>19</v>
      </c>
      <c r="E45" s="202">
        <f>(E46/$E$56)</f>
        <v>0</v>
      </c>
      <c r="F45" s="208"/>
      <c r="G45" s="208"/>
      <c r="H45" s="208"/>
      <c r="I45" s="207"/>
      <c r="J45" s="208"/>
      <c r="K45" s="208"/>
      <c r="L45" s="204">
        <f>SUM(F45:K45)+CRON1!L45</f>
        <v>0</v>
      </c>
      <c r="M45" s="201"/>
    </row>
    <row r="46" spans="1:13" ht="12" customHeight="1" x14ac:dyDescent="0.2">
      <c r="A46" s="393"/>
      <c r="B46" s="389"/>
      <c r="C46" s="391"/>
      <c r="D46" s="191" t="s">
        <v>20</v>
      </c>
      <c r="E46" s="205"/>
      <c r="F46" s="205">
        <f>ROUND(F45*E46,2)</f>
        <v>0</v>
      </c>
      <c r="G46" s="205">
        <f>ROUND(G45*E46,2)</f>
        <v>0</v>
      </c>
      <c r="H46" s="205">
        <f>ROUND(H45*E46,2)</f>
        <v>0</v>
      </c>
      <c r="I46" s="205">
        <f>ROUND(I45*E46,2)</f>
        <v>0</v>
      </c>
      <c r="J46" s="205">
        <f>ROUND(J45*E46,2)</f>
        <v>0</v>
      </c>
      <c r="K46" s="205">
        <f>ROUND(K45*E46,2)</f>
        <v>0</v>
      </c>
      <c r="L46" s="206">
        <f>SUM(F46:K46)+CRON1!L46</f>
        <v>0</v>
      </c>
      <c r="M46" s="206">
        <f>L46-E46</f>
        <v>0</v>
      </c>
    </row>
    <row r="47" spans="1:13" ht="12" customHeight="1" x14ac:dyDescent="0.2">
      <c r="A47" s="392"/>
      <c r="B47" s="388"/>
      <c r="C47" s="390"/>
      <c r="D47" s="190" t="s">
        <v>19</v>
      </c>
      <c r="E47" s="202">
        <f>(E48/$E$56)</f>
        <v>0</v>
      </c>
      <c r="F47" s="208"/>
      <c r="G47" s="208"/>
      <c r="H47" s="208"/>
      <c r="I47" s="207"/>
      <c r="J47" s="208"/>
      <c r="K47" s="208"/>
      <c r="L47" s="204">
        <f>SUM(F47:K47)+CRON1!L47</f>
        <v>0</v>
      </c>
      <c r="M47" s="201"/>
    </row>
    <row r="48" spans="1:13" ht="12" customHeight="1" x14ac:dyDescent="0.2">
      <c r="A48" s="393"/>
      <c r="B48" s="389"/>
      <c r="C48" s="391"/>
      <c r="D48" s="191" t="s">
        <v>20</v>
      </c>
      <c r="E48" s="205"/>
      <c r="F48" s="205">
        <f>ROUND(F47*E48,2)</f>
        <v>0</v>
      </c>
      <c r="G48" s="205">
        <f>ROUND(G47*E48,2)</f>
        <v>0</v>
      </c>
      <c r="H48" s="205">
        <f>ROUND(H47*E48,2)</f>
        <v>0</v>
      </c>
      <c r="I48" s="205">
        <f>ROUND(I47*E48,2)</f>
        <v>0</v>
      </c>
      <c r="J48" s="205">
        <f>ROUND(J47*E48,2)</f>
        <v>0</v>
      </c>
      <c r="K48" s="205">
        <f>ROUND(K47*E48,2)</f>
        <v>0</v>
      </c>
      <c r="L48" s="206">
        <f>SUM(F48:K48)+CRON1!L48</f>
        <v>0</v>
      </c>
      <c r="M48" s="206">
        <f>L48-E48</f>
        <v>0</v>
      </c>
    </row>
    <row r="49" spans="1:13" ht="12" customHeight="1" x14ac:dyDescent="0.2">
      <c r="A49" s="392"/>
      <c r="B49" s="388"/>
      <c r="C49" s="390"/>
      <c r="D49" s="190" t="s">
        <v>19</v>
      </c>
      <c r="E49" s="202">
        <f>(E50/$E$56)</f>
        <v>0</v>
      </c>
      <c r="F49" s="208"/>
      <c r="G49" s="208"/>
      <c r="H49" s="208"/>
      <c r="I49" s="207"/>
      <c r="J49" s="208"/>
      <c r="K49" s="208"/>
      <c r="L49" s="204">
        <f>SUM(F49:K49)+CRON1!L49</f>
        <v>0</v>
      </c>
      <c r="M49" s="201"/>
    </row>
    <row r="50" spans="1:13" ht="12" customHeight="1" x14ac:dyDescent="0.2">
      <c r="A50" s="393"/>
      <c r="B50" s="389"/>
      <c r="C50" s="391"/>
      <c r="D50" s="191" t="s">
        <v>20</v>
      </c>
      <c r="E50" s="205"/>
      <c r="F50" s="205">
        <f>ROUND(F49*E50,2)</f>
        <v>0</v>
      </c>
      <c r="G50" s="205">
        <f>ROUND(G49*E50,2)</f>
        <v>0</v>
      </c>
      <c r="H50" s="205">
        <f>ROUND(H49*E50,2)</f>
        <v>0</v>
      </c>
      <c r="I50" s="205">
        <f>ROUND(I49*E50,2)</f>
        <v>0</v>
      </c>
      <c r="J50" s="205">
        <f>ROUND(J49*E50,2)</f>
        <v>0</v>
      </c>
      <c r="K50" s="205">
        <f>ROUND(K49*E50,2)</f>
        <v>0</v>
      </c>
      <c r="L50" s="206">
        <f>SUM(F50:K50)+CRON1!L50</f>
        <v>0</v>
      </c>
      <c r="M50" s="206">
        <f>L50-E50</f>
        <v>0</v>
      </c>
    </row>
    <row r="51" spans="1:13" ht="12" customHeight="1" x14ac:dyDescent="0.2">
      <c r="A51" s="392"/>
      <c r="B51" s="388"/>
      <c r="C51" s="390"/>
      <c r="D51" s="190" t="s">
        <v>19</v>
      </c>
      <c r="E51" s="202">
        <f>(E52/$E$56)</f>
        <v>0</v>
      </c>
      <c r="F51" s="208"/>
      <c r="G51" s="208"/>
      <c r="H51" s="208"/>
      <c r="I51" s="207"/>
      <c r="J51" s="208"/>
      <c r="K51" s="208"/>
      <c r="L51" s="204">
        <f>SUM(F51:K51)+CRON1!L51</f>
        <v>0</v>
      </c>
      <c r="M51" s="201"/>
    </row>
    <row r="52" spans="1:13" ht="12" customHeight="1" x14ac:dyDescent="0.2">
      <c r="A52" s="393"/>
      <c r="B52" s="389"/>
      <c r="C52" s="391"/>
      <c r="D52" s="191" t="s">
        <v>20</v>
      </c>
      <c r="E52" s="205"/>
      <c r="F52" s="205">
        <f>ROUND(F51*E52,2)</f>
        <v>0</v>
      </c>
      <c r="G52" s="205">
        <f>ROUND(G51*E52,2)</f>
        <v>0</v>
      </c>
      <c r="H52" s="205">
        <f>ROUND(H51*E52,2)</f>
        <v>0</v>
      </c>
      <c r="I52" s="205">
        <f>ROUND(I51*E52,2)</f>
        <v>0</v>
      </c>
      <c r="J52" s="205">
        <f>ROUND(J51*E52,2)</f>
        <v>0</v>
      </c>
      <c r="K52" s="205">
        <f>ROUND(K51*E52,2)</f>
        <v>0</v>
      </c>
      <c r="L52" s="206">
        <f>SUM(F52:K52)+CRON1!L52</f>
        <v>0</v>
      </c>
      <c r="M52" s="206">
        <f>L52-E52</f>
        <v>0</v>
      </c>
    </row>
    <row r="53" spans="1:13" ht="12" customHeight="1" x14ac:dyDescent="0.2">
      <c r="A53" s="392"/>
      <c r="B53" s="388"/>
      <c r="C53" s="390"/>
      <c r="D53" s="190" t="s">
        <v>19</v>
      </c>
      <c r="E53" s="202">
        <f>(E54/$E$56)</f>
        <v>0</v>
      </c>
      <c r="F53" s="208"/>
      <c r="G53" s="208"/>
      <c r="H53" s="208"/>
      <c r="I53" s="207"/>
      <c r="J53" s="208"/>
      <c r="K53" s="208"/>
      <c r="L53" s="204">
        <f>SUM(F53:K53)+CRON1!L53</f>
        <v>0</v>
      </c>
      <c r="M53" s="201"/>
    </row>
    <row r="54" spans="1:13" ht="12" customHeight="1" x14ac:dyDescent="0.2">
      <c r="A54" s="393"/>
      <c r="B54" s="389"/>
      <c r="C54" s="391"/>
      <c r="D54" s="191" t="s">
        <v>20</v>
      </c>
      <c r="E54" s="205"/>
      <c r="F54" s="205">
        <f>ROUND(F53*E54,2)</f>
        <v>0</v>
      </c>
      <c r="G54" s="205">
        <f>ROUND(G53*E54,2)</f>
        <v>0</v>
      </c>
      <c r="H54" s="205">
        <f>ROUND(H53*E54,2)</f>
        <v>0</v>
      </c>
      <c r="I54" s="205">
        <f>ROUND(I53*E54,2)</f>
        <v>0</v>
      </c>
      <c r="J54" s="205">
        <f>ROUND(J53*E54,2)</f>
        <v>0</v>
      </c>
      <c r="K54" s="205">
        <f>ROUND(K53*E54,2)</f>
        <v>0</v>
      </c>
      <c r="L54" s="206">
        <f>SUM(F54:K54)+CRON1!L54</f>
        <v>0</v>
      </c>
      <c r="M54" s="206">
        <f>L54-E54</f>
        <v>0</v>
      </c>
    </row>
    <row r="55" spans="1:13" ht="12" customHeight="1" x14ac:dyDescent="0.2">
      <c r="A55" s="400" t="s">
        <v>21</v>
      </c>
      <c r="B55" s="401"/>
      <c r="C55" s="402"/>
      <c r="D55" s="194" t="s">
        <v>19</v>
      </c>
      <c r="E55" s="202">
        <f>E7+E9+E11+E13+E15+E17+E19+E21+E23+E25+E27+E29+E31+E33+E35+E37+E39+E41+E43+E45+E47+E49+E51+E53</f>
        <v>0.99999999999999978</v>
      </c>
      <c r="F55" s="202">
        <f>ROUND(F56/$E$56,4)</f>
        <v>0.08</v>
      </c>
      <c r="G55" s="202">
        <f>ROUND(G56/$E$56,4)</f>
        <v>0.08</v>
      </c>
      <c r="H55" s="202">
        <f>ROUND(H56/$E$56,4)</f>
        <v>0.08</v>
      </c>
      <c r="I55" s="202">
        <f>ROUND(I56/$E$56,4)</f>
        <v>0.08</v>
      </c>
      <c r="J55" s="202">
        <f>ROUND(J56/$E$56,4)</f>
        <v>0.08</v>
      </c>
      <c r="K55" s="202">
        <f>ROUND(K56/$E$56,4)+0.0003</f>
        <v>0.11939999999999999</v>
      </c>
      <c r="L55" s="211">
        <f>F55+G55+H55+I55+J55+K55+CRON1!L55</f>
        <v>1</v>
      </c>
      <c r="M55" s="201"/>
    </row>
    <row r="56" spans="1:13" ht="12" customHeight="1" x14ac:dyDescent="0.2">
      <c r="A56" s="403"/>
      <c r="B56" s="404"/>
      <c r="C56" s="405"/>
      <c r="D56" s="195" t="s">
        <v>20</v>
      </c>
      <c r="E56" s="212">
        <f>E8+E10+E12+E14+E16+E18+E20+E22+E24+E26+E28+E30+E32+E34+E36+E38+E40+E42+E44+E46+E48+E50+E52+E54</f>
        <v>1550926.06</v>
      </c>
      <c r="F56" s="212">
        <f t="shared" ref="F56:K56" si="1">F8+F10+F12+F14+F16+F18+F20+F22+F24+F26+F28+F30+F32+F34+F36+F38+F40+F42+F44+F46+F48+F50+F52+F54</f>
        <v>124127.32999999999</v>
      </c>
      <c r="G56" s="212">
        <f t="shared" si="1"/>
        <v>124127.32999999999</v>
      </c>
      <c r="H56" s="212">
        <f t="shared" si="1"/>
        <v>124127.32999999999</v>
      </c>
      <c r="I56" s="212">
        <f t="shared" si="1"/>
        <v>124127.32999999999</v>
      </c>
      <c r="J56" s="212">
        <f t="shared" si="1"/>
        <v>124127.32999999999</v>
      </c>
      <c r="K56" s="212">
        <f t="shared" si="1"/>
        <v>184717.15000000002</v>
      </c>
      <c r="L56" s="213">
        <f>F56+G56+H56+I56+J56+K56+CRON1!L56</f>
        <v>1550926.0599999998</v>
      </c>
      <c r="M56" s="206">
        <f>L56-E56</f>
        <v>0</v>
      </c>
    </row>
    <row r="57" spans="1:13" ht="12" customHeight="1" x14ac:dyDescent="0.2">
      <c r="A57" s="214"/>
      <c r="B57" s="215"/>
      <c r="C57" s="215"/>
      <c r="D57" s="215"/>
      <c r="E57" s="215"/>
      <c r="F57" s="215"/>
      <c r="G57" s="215"/>
      <c r="H57" s="216"/>
      <c r="I57" s="216"/>
      <c r="J57" s="216"/>
      <c r="K57" s="217"/>
      <c r="L57" s="201"/>
      <c r="M57" s="201" t="s">
        <v>22</v>
      </c>
    </row>
    <row r="58" spans="1:13" ht="12" customHeight="1" x14ac:dyDescent="0.2">
      <c r="A58" s="218"/>
      <c r="B58" s="198"/>
      <c r="C58" s="198"/>
      <c r="D58" s="198"/>
      <c r="E58" s="198"/>
      <c r="F58" s="198"/>
      <c r="G58" s="198"/>
      <c r="H58" s="201"/>
      <c r="I58" s="201"/>
      <c r="J58" s="201"/>
      <c r="K58" s="196"/>
      <c r="L58" s="201"/>
      <c r="M58" s="201"/>
    </row>
    <row r="59" spans="1:13" ht="12" customHeight="1" x14ac:dyDescent="0.2">
      <c r="A59" s="218"/>
      <c r="B59" s="247" t="s">
        <v>12</v>
      </c>
      <c r="C59" s="242"/>
      <c r="D59" s="198"/>
      <c r="E59" s="408" t="s">
        <v>11</v>
      </c>
      <c r="F59" s="408"/>
      <c r="G59" s="219"/>
      <c r="H59" s="220"/>
      <c r="I59" s="201"/>
      <c r="J59" s="201"/>
      <c r="K59" s="196"/>
      <c r="L59" s="201"/>
      <c r="M59" s="201"/>
    </row>
    <row r="60" spans="1:13" ht="12" customHeight="1" x14ac:dyDescent="0.2">
      <c r="A60" s="197"/>
      <c r="B60" s="409" t="s">
        <v>23</v>
      </c>
      <c r="C60" s="409"/>
      <c r="D60" s="198"/>
      <c r="E60" s="410" t="s">
        <v>5</v>
      </c>
      <c r="F60" s="410"/>
      <c r="G60" s="219"/>
      <c r="H60" s="201"/>
      <c r="I60" s="201"/>
      <c r="J60" s="201"/>
      <c r="K60" s="196"/>
      <c r="L60" s="201"/>
      <c r="M60" s="201"/>
    </row>
    <row r="61" spans="1:13" ht="12" customHeight="1" x14ac:dyDescent="0.2">
      <c r="A61" s="197"/>
      <c r="B61" s="243"/>
      <c r="C61" s="243"/>
      <c r="D61" s="198"/>
      <c r="E61" s="244"/>
      <c r="F61" s="244"/>
      <c r="G61" s="219"/>
      <c r="H61" s="201"/>
      <c r="I61" s="201"/>
      <c r="J61" s="201"/>
      <c r="K61" s="196"/>
      <c r="L61" s="201"/>
      <c r="M61" s="201"/>
    </row>
    <row r="62" spans="1:13" ht="12" customHeight="1" x14ac:dyDescent="0.2">
      <c r="A62" s="197"/>
      <c r="B62" s="406"/>
      <c r="C62" s="406"/>
      <c r="D62" s="198"/>
      <c r="E62" s="198"/>
      <c r="F62" s="221"/>
      <c r="G62" s="201"/>
      <c r="H62" s="201"/>
      <c r="I62" s="201"/>
      <c r="J62" s="201"/>
      <c r="K62" s="196"/>
      <c r="L62" s="201"/>
      <c r="M62" s="201"/>
    </row>
    <row r="63" spans="1:13" ht="12" customHeight="1" x14ac:dyDescent="0.2">
      <c r="A63" s="199"/>
      <c r="B63" s="407" t="s">
        <v>8</v>
      </c>
      <c r="C63" s="407"/>
      <c r="D63" s="245"/>
      <c r="E63" s="245"/>
      <c r="F63" s="246"/>
      <c r="G63" s="222"/>
      <c r="H63" s="222"/>
      <c r="I63" s="222"/>
      <c r="J63" s="222"/>
      <c r="K63" s="223"/>
      <c r="L63" s="201"/>
      <c r="M63" s="201"/>
    </row>
    <row r="64" spans="1:13" ht="12" customHeight="1" x14ac:dyDescent="0.2"/>
    <row r="65" spans="5:5" ht="12" customHeight="1" x14ac:dyDescent="0.2">
      <c r="E65" s="97">
        <f>PLAN!H77</f>
        <v>1777071.06</v>
      </c>
    </row>
    <row r="66" spans="5:5" ht="12" customHeight="1" x14ac:dyDescent="0.2"/>
  </sheetData>
  <mergeCells count="84">
    <mergeCell ref="E59:F59"/>
    <mergeCell ref="B60:C60"/>
    <mergeCell ref="E60:F60"/>
    <mergeCell ref="B62:C62"/>
    <mergeCell ref="B63:C63"/>
    <mergeCell ref="A55:C56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35:A36"/>
    <mergeCell ref="B35:B36"/>
    <mergeCell ref="C35:C3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2:K2"/>
    <mergeCell ref="A3:K3"/>
    <mergeCell ref="A4:C4"/>
    <mergeCell ref="I4:K4"/>
    <mergeCell ref="A5:C5"/>
    <mergeCell ref="D5:H5"/>
  </mergeCells>
  <printOptions horizontalCentered="1"/>
  <pageMargins left="0.19685039370078741" right="0.19685039370078741" top="0.19685039370078741" bottom="0.19685039370078741" header="0.19685039370078741" footer="0"/>
  <pageSetup paperSize="9" scale="74" orientation="landscape" horizontalDpi="300" verticalDpi="300" r:id="rId1"/>
  <headerFooter alignWithMargins="0"/>
  <ignoredErrors>
    <ignoredError sqref="E8 E10 E12 E14 E16 E18 E20 E22 E24 E26 E2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7EA2-3EEC-4272-B40F-F3B84A2B06C8}">
  <sheetPr codeName="Planilha12"/>
  <dimension ref="A1:L53"/>
  <sheetViews>
    <sheetView showGridLines="0" showZeros="0" view="pageBreakPreview" zoomScaleNormal="100" zoomScaleSheetLayoutView="10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I35" sqref="I35:L49"/>
    </sheetView>
  </sheetViews>
  <sheetFormatPr defaultColWidth="9.140625" defaultRowHeight="12.75" x14ac:dyDescent="0.2"/>
  <cols>
    <col min="1" max="2" width="13.7109375" style="26" customWidth="1"/>
    <col min="3" max="5" width="13.7109375" style="27" customWidth="1"/>
    <col min="6" max="6" width="13.7109375" style="28" customWidth="1"/>
    <col min="7" max="7" width="13.7109375" style="29" customWidth="1"/>
    <col min="8" max="12" width="13.7109375" style="26" customWidth="1"/>
    <col min="13" max="13" width="4.7109375" style="26" customWidth="1"/>
    <col min="14" max="16384" width="9.140625" style="26"/>
  </cols>
  <sheetData>
    <row r="1" spans="1:12" s="24" customFormat="1" ht="54.6" customHeight="1" x14ac:dyDescent="0.2">
      <c r="A1" s="422"/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4"/>
    </row>
    <row r="2" spans="1:12" s="24" customFormat="1" ht="13.9" customHeight="1" x14ac:dyDescent="0.2">
      <c r="A2" s="425" t="s">
        <v>222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7"/>
    </row>
    <row r="3" spans="1:12" s="25" customFormat="1" ht="13.9" customHeight="1" x14ac:dyDescent="0.2">
      <c r="A3" s="439" t="str">
        <f>PLAN!A4</f>
        <v>OBRA: SISTEMA DE REGISTRO DE PREÇOS P/ EXECUÇÃO DE SERVIÇOS DIVERSOS DE ENGENHARIA</v>
      </c>
      <c r="B3" s="440"/>
      <c r="C3" s="440"/>
      <c r="D3" s="440"/>
      <c r="E3" s="440"/>
      <c r="F3" s="440"/>
      <c r="G3" s="440"/>
      <c r="H3" s="440"/>
      <c r="I3" s="440"/>
      <c r="J3" s="440"/>
      <c r="K3" s="441"/>
      <c r="L3" s="437" t="str">
        <f>PLAN!H4</f>
        <v>DATA: 02/09/26</v>
      </c>
    </row>
    <row r="4" spans="1:12" s="25" customFormat="1" ht="13.9" customHeight="1" x14ac:dyDescent="0.2">
      <c r="A4" s="442" t="str">
        <f>PLAN!A5</f>
        <v>LOCAL: VIAS PÚBLICAS DIVERSAS DO MUNICÍPIO DE SANTA CRUZ DO ESCALVADO (MG)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38"/>
    </row>
    <row r="5" spans="1:12" ht="12" customHeight="1" x14ac:dyDescent="0.2">
      <c r="A5" s="428"/>
      <c r="B5" s="429"/>
      <c r="C5" s="429"/>
      <c r="D5" s="430"/>
      <c r="E5" s="428"/>
      <c r="F5" s="429"/>
      <c r="G5" s="429"/>
      <c r="H5" s="430"/>
      <c r="I5" s="428"/>
      <c r="J5" s="429"/>
      <c r="K5" s="429"/>
      <c r="L5" s="430"/>
    </row>
    <row r="6" spans="1:12" ht="12" customHeight="1" x14ac:dyDescent="0.2">
      <c r="A6" s="431"/>
      <c r="B6" s="432"/>
      <c r="C6" s="432"/>
      <c r="D6" s="433"/>
      <c r="E6" s="431"/>
      <c r="F6" s="432"/>
      <c r="G6" s="432"/>
      <c r="H6" s="433"/>
      <c r="I6" s="431"/>
      <c r="J6" s="432"/>
      <c r="K6" s="432"/>
      <c r="L6" s="433"/>
    </row>
    <row r="7" spans="1:12" ht="12" customHeight="1" x14ac:dyDescent="0.2">
      <c r="A7" s="431"/>
      <c r="B7" s="432"/>
      <c r="C7" s="432"/>
      <c r="D7" s="433"/>
      <c r="E7" s="431"/>
      <c r="F7" s="432"/>
      <c r="G7" s="432"/>
      <c r="H7" s="433"/>
      <c r="I7" s="431"/>
      <c r="J7" s="432"/>
      <c r="K7" s="432"/>
      <c r="L7" s="433"/>
    </row>
    <row r="8" spans="1:12" ht="12" customHeight="1" x14ac:dyDescent="0.2">
      <c r="A8" s="431"/>
      <c r="B8" s="432"/>
      <c r="C8" s="432"/>
      <c r="D8" s="433"/>
      <c r="E8" s="431"/>
      <c r="F8" s="432"/>
      <c r="G8" s="432"/>
      <c r="H8" s="433"/>
      <c r="I8" s="431"/>
      <c r="J8" s="432"/>
      <c r="K8" s="432"/>
      <c r="L8" s="433"/>
    </row>
    <row r="9" spans="1:12" ht="12" customHeight="1" x14ac:dyDescent="0.2">
      <c r="A9" s="431"/>
      <c r="B9" s="432"/>
      <c r="C9" s="432"/>
      <c r="D9" s="433"/>
      <c r="E9" s="431"/>
      <c r="F9" s="432"/>
      <c r="G9" s="432"/>
      <c r="H9" s="433"/>
      <c r="I9" s="431"/>
      <c r="J9" s="432"/>
      <c r="K9" s="432"/>
      <c r="L9" s="433"/>
    </row>
    <row r="10" spans="1:12" ht="12" customHeight="1" x14ac:dyDescent="0.2">
      <c r="A10" s="431"/>
      <c r="B10" s="432"/>
      <c r="C10" s="432"/>
      <c r="D10" s="433"/>
      <c r="E10" s="431"/>
      <c r="F10" s="432"/>
      <c r="G10" s="432"/>
      <c r="H10" s="433"/>
      <c r="I10" s="431"/>
      <c r="J10" s="432"/>
      <c r="K10" s="432"/>
      <c r="L10" s="433"/>
    </row>
    <row r="11" spans="1:12" ht="12" customHeight="1" x14ac:dyDescent="0.2">
      <c r="A11" s="431"/>
      <c r="B11" s="432"/>
      <c r="C11" s="432"/>
      <c r="D11" s="433"/>
      <c r="E11" s="431"/>
      <c r="F11" s="432"/>
      <c r="G11" s="432"/>
      <c r="H11" s="433"/>
      <c r="I11" s="431"/>
      <c r="J11" s="432"/>
      <c r="K11" s="432"/>
      <c r="L11" s="433"/>
    </row>
    <row r="12" spans="1:12" ht="12" customHeight="1" x14ac:dyDescent="0.2">
      <c r="A12" s="431"/>
      <c r="B12" s="432"/>
      <c r="C12" s="432"/>
      <c r="D12" s="433"/>
      <c r="E12" s="431"/>
      <c r="F12" s="432"/>
      <c r="G12" s="432"/>
      <c r="H12" s="433"/>
      <c r="I12" s="431"/>
      <c r="J12" s="432"/>
      <c r="K12" s="432"/>
      <c r="L12" s="433"/>
    </row>
    <row r="13" spans="1:12" ht="12" customHeight="1" x14ac:dyDescent="0.2">
      <c r="A13" s="431"/>
      <c r="B13" s="432"/>
      <c r="C13" s="432"/>
      <c r="D13" s="433"/>
      <c r="E13" s="431"/>
      <c r="F13" s="432"/>
      <c r="G13" s="432"/>
      <c r="H13" s="433"/>
      <c r="I13" s="431"/>
      <c r="J13" s="432"/>
      <c r="K13" s="432"/>
      <c r="L13" s="433"/>
    </row>
    <row r="14" spans="1:12" ht="12" customHeight="1" x14ac:dyDescent="0.2">
      <c r="A14" s="431"/>
      <c r="B14" s="432"/>
      <c r="C14" s="432"/>
      <c r="D14" s="433"/>
      <c r="E14" s="431"/>
      <c r="F14" s="432"/>
      <c r="G14" s="432"/>
      <c r="H14" s="433"/>
      <c r="I14" s="431"/>
      <c r="J14" s="432"/>
      <c r="K14" s="432"/>
      <c r="L14" s="433"/>
    </row>
    <row r="15" spans="1:12" ht="12" customHeight="1" x14ac:dyDescent="0.2">
      <c r="A15" s="431"/>
      <c r="B15" s="432"/>
      <c r="C15" s="432"/>
      <c r="D15" s="433"/>
      <c r="E15" s="431"/>
      <c r="F15" s="432"/>
      <c r="G15" s="432"/>
      <c r="H15" s="433"/>
      <c r="I15" s="431"/>
      <c r="J15" s="432"/>
      <c r="K15" s="432"/>
      <c r="L15" s="433"/>
    </row>
    <row r="16" spans="1:12" ht="12" customHeight="1" x14ac:dyDescent="0.2">
      <c r="A16" s="431"/>
      <c r="B16" s="432"/>
      <c r="C16" s="432"/>
      <c r="D16" s="433"/>
      <c r="E16" s="431"/>
      <c r="F16" s="432"/>
      <c r="G16" s="432"/>
      <c r="H16" s="433"/>
      <c r="I16" s="431"/>
      <c r="J16" s="432"/>
      <c r="K16" s="432"/>
      <c r="L16" s="433"/>
    </row>
    <row r="17" spans="1:12" ht="12" customHeight="1" x14ac:dyDescent="0.2">
      <c r="A17" s="431"/>
      <c r="B17" s="432"/>
      <c r="C17" s="432"/>
      <c r="D17" s="433"/>
      <c r="E17" s="431"/>
      <c r="F17" s="432"/>
      <c r="G17" s="432"/>
      <c r="H17" s="433"/>
      <c r="I17" s="431"/>
      <c r="J17" s="432"/>
      <c r="K17" s="432"/>
      <c r="L17" s="433"/>
    </row>
    <row r="18" spans="1:12" ht="12" customHeight="1" x14ac:dyDescent="0.2">
      <c r="A18" s="431"/>
      <c r="B18" s="432"/>
      <c r="C18" s="432"/>
      <c r="D18" s="433"/>
      <c r="E18" s="431"/>
      <c r="F18" s="432"/>
      <c r="G18" s="432"/>
      <c r="H18" s="433"/>
      <c r="I18" s="431"/>
      <c r="J18" s="432"/>
      <c r="K18" s="432"/>
      <c r="L18" s="433"/>
    </row>
    <row r="19" spans="1:12" ht="12" customHeight="1" x14ac:dyDescent="0.2">
      <c r="A19" s="434"/>
      <c r="B19" s="435"/>
      <c r="C19" s="435"/>
      <c r="D19" s="436"/>
      <c r="E19" s="434"/>
      <c r="F19" s="435"/>
      <c r="G19" s="435"/>
      <c r="H19" s="436"/>
      <c r="I19" s="434"/>
      <c r="J19" s="435"/>
      <c r="K19" s="435"/>
      <c r="L19" s="436"/>
    </row>
    <row r="20" spans="1:12" ht="12" customHeight="1" x14ac:dyDescent="0.2">
      <c r="A20" s="428"/>
      <c r="B20" s="429"/>
      <c r="C20" s="429"/>
      <c r="D20" s="430"/>
      <c r="E20" s="428"/>
      <c r="F20" s="429"/>
      <c r="G20" s="429"/>
      <c r="H20" s="430"/>
      <c r="I20" s="428"/>
      <c r="J20" s="429"/>
      <c r="K20" s="429"/>
      <c r="L20" s="430"/>
    </row>
    <row r="21" spans="1:12" ht="12" customHeight="1" x14ac:dyDescent="0.2">
      <c r="A21" s="431"/>
      <c r="B21" s="432"/>
      <c r="C21" s="432"/>
      <c r="D21" s="433"/>
      <c r="E21" s="431"/>
      <c r="F21" s="432"/>
      <c r="G21" s="432"/>
      <c r="H21" s="433"/>
      <c r="I21" s="431"/>
      <c r="J21" s="432"/>
      <c r="K21" s="432"/>
      <c r="L21" s="433"/>
    </row>
    <row r="22" spans="1:12" ht="12" customHeight="1" x14ac:dyDescent="0.2">
      <c r="A22" s="431"/>
      <c r="B22" s="432"/>
      <c r="C22" s="432"/>
      <c r="D22" s="433"/>
      <c r="E22" s="431"/>
      <c r="F22" s="432"/>
      <c r="G22" s="432"/>
      <c r="H22" s="433"/>
      <c r="I22" s="431"/>
      <c r="J22" s="432"/>
      <c r="K22" s="432"/>
      <c r="L22" s="433"/>
    </row>
    <row r="23" spans="1:12" ht="12" customHeight="1" x14ac:dyDescent="0.2">
      <c r="A23" s="431"/>
      <c r="B23" s="432"/>
      <c r="C23" s="432"/>
      <c r="D23" s="433"/>
      <c r="E23" s="431"/>
      <c r="F23" s="432"/>
      <c r="G23" s="432"/>
      <c r="H23" s="433"/>
      <c r="I23" s="431"/>
      <c r="J23" s="432"/>
      <c r="K23" s="432"/>
      <c r="L23" s="433"/>
    </row>
    <row r="24" spans="1:12" ht="12" customHeight="1" x14ac:dyDescent="0.2">
      <c r="A24" s="431"/>
      <c r="B24" s="432"/>
      <c r="C24" s="432"/>
      <c r="D24" s="433"/>
      <c r="E24" s="431"/>
      <c r="F24" s="432"/>
      <c r="G24" s="432"/>
      <c r="H24" s="433"/>
      <c r="I24" s="431"/>
      <c r="J24" s="432"/>
      <c r="K24" s="432"/>
      <c r="L24" s="433"/>
    </row>
    <row r="25" spans="1:12" ht="12" customHeight="1" x14ac:dyDescent="0.2">
      <c r="A25" s="431"/>
      <c r="B25" s="432"/>
      <c r="C25" s="432"/>
      <c r="D25" s="433"/>
      <c r="E25" s="431"/>
      <c r="F25" s="432"/>
      <c r="G25" s="432"/>
      <c r="H25" s="433"/>
      <c r="I25" s="431"/>
      <c r="J25" s="432"/>
      <c r="K25" s="432"/>
      <c r="L25" s="433"/>
    </row>
    <row r="26" spans="1:12" ht="12" customHeight="1" x14ac:dyDescent="0.2">
      <c r="A26" s="431"/>
      <c r="B26" s="432"/>
      <c r="C26" s="432"/>
      <c r="D26" s="433"/>
      <c r="E26" s="431"/>
      <c r="F26" s="432"/>
      <c r="G26" s="432"/>
      <c r="H26" s="433"/>
      <c r="I26" s="431"/>
      <c r="J26" s="432"/>
      <c r="K26" s="432"/>
      <c r="L26" s="433"/>
    </row>
    <row r="27" spans="1:12" ht="12" customHeight="1" x14ac:dyDescent="0.2">
      <c r="A27" s="431"/>
      <c r="B27" s="432"/>
      <c r="C27" s="432"/>
      <c r="D27" s="433"/>
      <c r="E27" s="431"/>
      <c r="F27" s="432"/>
      <c r="G27" s="432"/>
      <c r="H27" s="433"/>
      <c r="I27" s="431"/>
      <c r="J27" s="432"/>
      <c r="K27" s="432"/>
      <c r="L27" s="433"/>
    </row>
    <row r="28" spans="1:12" ht="12" customHeight="1" x14ac:dyDescent="0.2">
      <c r="A28" s="431"/>
      <c r="B28" s="432"/>
      <c r="C28" s="432"/>
      <c r="D28" s="433"/>
      <c r="E28" s="431"/>
      <c r="F28" s="432"/>
      <c r="G28" s="432"/>
      <c r="H28" s="433"/>
      <c r="I28" s="431"/>
      <c r="J28" s="432"/>
      <c r="K28" s="432"/>
      <c r="L28" s="433"/>
    </row>
    <row r="29" spans="1:12" ht="12" customHeight="1" x14ac:dyDescent="0.2">
      <c r="A29" s="431"/>
      <c r="B29" s="432"/>
      <c r="C29" s="432"/>
      <c r="D29" s="433"/>
      <c r="E29" s="431"/>
      <c r="F29" s="432"/>
      <c r="G29" s="432"/>
      <c r="H29" s="433"/>
      <c r="I29" s="431"/>
      <c r="J29" s="432"/>
      <c r="K29" s="432"/>
      <c r="L29" s="433"/>
    </row>
    <row r="30" spans="1:12" ht="12" customHeight="1" x14ac:dyDescent="0.2">
      <c r="A30" s="431"/>
      <c r="B30" s="432"/>
      <c r="C30" s="432"/>
      <c r="D30" s="433"/>
      <c r="E30" s="431"/>
      <c r="F30" s="432"/>
      <c r="G30" s="432"/>
      <c r="H30" s="433"/>
      <c r="I30" s="431"/>
      <c r="J30" s="432"/>
      <c r="K30" s="432"/>
      <c r="L30" s="433"/>
    </row>
    <row r="31" spans="1:12" ht="12" customHeight="1" x14ac:dyDescent="0.2">
      <c r="A31" s="431"/>
      <c r="B31" s="432"/>
      <c r="C31" s="432"/>
      <c r="D31" s="433"/>
      <c r="E31" s="431"/>
      <c r="F31" s="432"/>
      <c r="G31" s="432"/>
      <c r="H31" s="433"/>
      <c r="I31" s="431"/>
      <c r="J31" s="432"/>
      <c r="K31" s="432"/>
      <c r="L31" s="433"/>
    </row>
    <row r="32" spans="1:12" ht="12" customHeight="1" x14ac:dyDescent="0.2">
      <c r="A32" s="431"/>
      <c r="B32" s="432"/>
      <c r="C32" s="432"/>
      <c r="D32" s="433"/>
      <c r="E32" s="431"/>
      <c r="F32" s="432"/>
      <c r="G32" s="432"/>
      <c r="H32" s="433"/>
      <c r="I32" s="431"/>
      <c r="J32" s="432"/>
      <c r="K32" s="432"/>
      <c r="L32" s="433"/>
    </row>
    <row r="33" spans="1:12" ht="12" customHeight="1" x14ac:dyDescent="0.2">
      <c r="A33" s="431"/>
      <c r="B33" s="432"/>
      <c r="C33" s="432"/>
      <c r="D33" s="433"/>
      <c r="E33" s="431"/>
      <c r="F33" s="432"/>
      <c r="G33" s="432"/>
      <c r="H33" s="433"/>
      <c r="I33" s="431"/>
      <c r="J33" s="432"/>
      <c r="K33" s="432"/>
      <c r="L33" s="433"/>
    </row>
    <row r="34" spans="1:12" ht="12" customHeight="1" x14ac:dyDescent="0.2">
      <c r="A34" s="434"/>
      <c r="B34" s="435"/>
      <c r="C34" s="435"/>
      <c r="D34" s="436"/>
      <c r="E34" s="434"/>
      <c r="F34" s="435"/>
      <c r="G34" s="435"/>
      <c r="H34" s="436"/>
      <c r="I34" s="434"/>
      <c r="J34" s="435"/>
      <c r="K34" s="435"/>
      <c r="L34" s="436"/>
    </row>
    <row r="35" spans="1:12" ht="12" customHeight="1" x14ac:dyDescent="0.2">
      <c r="A35" s="428"/>
      <c r="B35" s="429"/>
      <c r="C35" s="429"/>
      <c r="D35" s="430"/>
      <c r="E35" s="428"/>
      <c r="F35" s="429"/>
      <c r="G35" s="429"/>
      <c r="H35" s="430"/>
      <c r="I35" s="428"/>
      <c r="J35" s="429"/>
      <c r="K35" s="429"/>
      <c r="L35" s="430"/>
    </row>
    <row r="36" spans="1:12" ht="12" customHeight="1" x14ac:dyDescent="0.2">
      <c r="A36" s="431"/>
      <c r="B36" s="432"/>
      <c r="C36" s="432"/>
      <c r="D36" s="433"/>
      <c r="E36" s="431"/>
      <c r="F36" s="432"/>
      <c r="G36" s="432"/>
      <c r="H36" s="433"/>
      <c r="I36" s="431"/>
      <c r="J36" s="432"/>
      <c r="K36" s="432"/>
      <c r="L36" s="433"/>
    </row>
    <row r="37" spans="1:12" ht="12" customHeight="1" x14ac:dyDescent="0.2">
      <c r="A37" s="431"/>
      <c r="B37" s="432"/>
      <c r="C37" s="432"/>
      <c r="D37" s="433"/>
      <c r="E37" s="431"/>
      <c r="F37" s="432"/>
      <c r="G37" s="432"/>
      <c r="H37" s="433"/>
      <c r="I37" s="431"/>
      <c r="J37" s="432"/>
      <c r="K37" s="432"/>
      <c r="L37" s="433"/>
    </row>
    <row r="38" spans="1:12" ht="12" customHeight="1" x14ac:dyDescent="0.2">
      <c r="A38" s="431"/>
      <c r="B38" s="432"/>
      <c r="C38" s="432"/>
      <c r="D38" s="433"/>
      <c r="E38" s="431"/>
      <c r="F38" s="432"/>
      <c r="G38" s="432"/>
      <c r="H38" s="433"/>
      <c r="I38" s="431"/>
      <c r="J38" s="432"/>
      <c r="K38" s="432"/>
      <c r="L38" s="433"/>
    </row>
    <row r="39" spans="1:12" ht="12" customHeight="1" x14ac:dyDescent="0.2">
      <c r="A39" s="431"/>
      <c r="B39" s="432"/>
      <c r="C39" s="432"/>
      <c r="D39" s="433"/>
      <c r="E39" s="431"/>
      <c r="F39" s="432"/>
      <c r="G39" s="432"/>
      <c r="H39" s="433"/>
      <c r="I39" s="431"/>
      <c r="J39" s="432"/>
      <c r="K39" s="432"/>
      <c r="L39" s="433"/>
    </row>
    <row r="40" spans="1:12" ht="12" customHeight="1" x14ac:dyDescent="0.2">
      <c r="A40" s="431"/>
      <c r="B40" s="432"/>
      <c r="C40" s="432"/>
      <c r="D40" s="433"/>
      <c r="E40" s="431"/>
      <c r="F40" s="432"/>
      <c r="G40" s="432"/>
      <c r="H40" s="433"/>
      <c r="I40" s="431"/>
      <c r="J40" s="432"/>
      <c r="K40" s="432"/>
      <c r="L40" s="433"/>
    </row>
    <row r="41" spans="1:12" ht="12" customHeight="1" x14ac:dyDescent="0.2">
      <c r="A41" s="431"/>
      <c r="B41" s="432"/>
      <c r="C41" s="432"/>
      <c r="D41" s="433"/>
      <c r="E41" s="431"/>
      <c r="F41" s="432"/>
      <c r="G41" s="432"/>
      <c r="H41" s="433"/>
      <c r="I41" s="431"/>
      <c r="J41" s="432"/>
      <c r="K41" s="432"/>
      <c r="L41" s="433"/>
    </row>
    <row r="42" spans="1:12" ht="12" customHeight="1" x14ac:dyDescent="0.2">
      <c r="A42" s="431"/>
      <c r="B42" s="432"/>
      <c r="C42" s="432"/>
      <c r="D42" s="433"/>
      <c r="E42" s="431"/>
      <c r="F42" s="432"/>
      <c r="G42" s="432"/>
      <c r="H42" s="433"/>
      <c r="I42" s="431"/>
      <c r="J42" s="432"/>
      <c r="K42" s="432"/>
      <c r="L42" s="433"/>
    </row>
    <row r="43" spans="1:12" ht="12" customHeight="1" x14ac:dyDescent="0.2">
      <c r="A43" s="431"/>
      <c r="B43" s="432"/>
      <c r="C43" s="432"/>
      <c r="D43" s="433"/>
      <c r="E43" s="431"/>
      <c r="F43" s="432"/>
      <c r="G43" s="432"/>
      <c r="H43" s="433"/>
      <c r="I43" s="431"/>
      <c r="J43" s="432"/>
      <c r="K43" s="432"/>
      <c r="L43" s="433"/>
    </row>
    <row r="44" spans="1:12" ht="12" customHeight="1" x14ac:dyDescent="0.2">
      <c r="A44" s="431"/>
      <c r="B44" s="432"/>
      <c r="C44" s="432"/>
      <c r="D44" s="433"/>
      <c r="E44" s="431"/>
      <c r="F44" s="432"/>
      <c r="G44" s="432"/>
      <c r="H44" s="433"/>
      <c r="I44" s="431"/>
      <c r="J44" s="432"/>
      <c r="K44" s="432"/>
      <c r="L44" s="433"/>
    </row>
    <row r="45" spans="1:12" ht="12" customHeight="1" x14ac:dyDescent="0.2">
      <c r="A45" s="431"/>
      <c r="B45" s="432"/>
      <c r="C45" s="432"/>
      <c r="D45" s="433"/>
      <c r="E45" s="431"/>
      <c r="F45" s="432"/>
      <c r="G45" s="432"/>
      <c r="H45" s="433"/>
      <c r="I45" s="431"/>
      <c r="J45" s="432"/>
      <c r="K45" s="432"/>
      <c r="L45" s="433"/>
    </row>
    <row r="46" spans="1:12" ht="12" customHeight="1" x14ac:dyDescent="0.2">
      <c r="A46" s="431"/>
      <c r="B46" s="432"/>
      <c r="C46" s="432"/>
      <c r="D46" s="433"/>
      <c r="E46" s="431"/>
      <c r="F46" s="432"/>
      <c r="G46" s="432"/>
      <c r="H46" s="433"/>
      <c r="I46" s="431"/>
      <c r="J46" s="432"/>
      <c r="K46" s="432"/>
      <c r="L46" s="433"/>
    </row>
    <row r="47" spans="1:12" ht="12" customHeight="1" x14ac:dyDescent="0.2">
      <c r="A47" s="431"/>
      <c r="B47" s="432"/>
      <c r="C47" s="432"/>
      <c r="D47" s="433"/>
      <c r="E47" s="431"/>
      <c r="F47" s="432"/>
      <c r="G47" s="432"/>
      <c r="H47" s="433"/>
      <c r="I47" s="431"/>
      <c r="J47" s="432"/>
      <c r="K47" s="432"/>
      <c r="L47" s="433"/>
    </row>
    <row r="48" spans="1:12" ht="12" customHeight="1" x14ac:dyDescent="0.2">
      <c r="A48" s="431"/>
      <c r="B48" s="432"/>
      <c r="C48" s="432"/>
      <c r="D48" s="433"/>
      <c r="E48" s="431"/>
      <c r="F48" s="432"/>
      <c r="G48" s="432"/>
      <c r="H48" s="433"/>
      <c r="I48" s="431"/>
      <c r="J48" s="432"/>
      <c r="K48" s="432"/>
      <c r="L48" s="433"/>
    </row>
    <row r="49" spans="1:12" ht="12" customHeight="1" x14ac:dyDescent="0.2">
      <c r="A49" s="434"/>
      <c r="B49" s="435"/>
      <c r="C49" s="435"/>
      <c r="D49" s="436"/>
      <c r="E49" s="434"/>
      <c r="F49" s="435"/>
      <c r="G49" s="435"/>
      <c r="H49" s="436"/>
      <c r="I49" s="434"/>
      <c r="J49" s="435"/>
      <c r="K49" s="435"/>
      <c r="L49" s="436"/>
    </row>
    <row r="50" spans="1:12" ht="12" customHeight="1" x14ac:dyDescent="0.2">
      <c r="A50" s="254"/>
      <c r="B50" s="265"/>
      <c r="C50" s="265"/>
      <c r="D50" s="265"/>
      <c r="E50" s="265"/>
      <c r="F50" s="265"/>
      <c r="G50" s="265"/>
      <c r="H50" s="266"/>
      <c r="I50" s="266"/>
      <c r="J50" s="266"/>
      <c r="K50" s="266"/>
      <c r="L50" s="255"/>
    </row>
    <row r="51" spans="1:12" s="25" customFormat="1" ht="12" customHeight="1" x14ac:dyDescent="0.2">
      <c r="A51" s="224"/>
      <c r="B51" s="283"/>
      <c r="C51" s="283"/>
      <c r="D51" s="283"/>
      <c r="E51" s="283"/>
      <c r="F51" s="283"/>
      <c r="G51" s="283"/>
      <c r="H51" s="227"/>
      <c r="I51" s="227"/>
      <c r="J51" s="225"/>
      <c r="K51" s="226"/>
      <c r="L51" s="256"/>
    </row>
    <row r="52" spans="1:12" s="25" customFormat="1" ht="12" customHeight="1" x14ac:dyDescent="0.2">
      <c r="A52" s="224"/>
      <c r="B52" s="284"/>
      <c r="C52" s="247" t="s">
        <v>12</v>
      </c>
      <c r="D52" s="242"/>
      <c r="E52" s="198"/>
      <c r="H52" s="408" t="s">
        <v>137</v>
      </c>
      <c r="I52" s="408"/>
      <c r="J52" s="225"/>
      <c r="K52" s="228"/>
      <c r="L52" s="256"/>
    </row>
    <row r="53" spans="1:12" s="25" customFormat="1" ht="12" customHeight="1" x14ac:dyDescent="0.2">
      <c r="A53" s="229"/>
      <c r="B53" s="285"/>
      <c r="C53" s="286" t="s">
        <v>23</v>
      </c>
      <c r="D53" s="286"/>
      <c r="E53" s="198"/>
      <c r="H53" s="410" t="s">
        <v>5</v>
      </c>
      <c r="I53" s="410"/>
      <c r="J53" s="230"/>
      <c r="K53" s="231"/>
      <c r="L53" s="257"/>
    </row>
  </sheetData>
  <mergeCells count="16">
    <mergeCell ref="A20:D34"/>
    <mergeCell ref="E20:H34"/>
    <mergeCell ref="I20:L34"/>
    <mergeCell ref="H52:I52"/>
    <mergeCell ref="H53:I53"/>
    <mergeCell ref="A35:D49"/>
    <mergeCell ref="E35:H49"/>
    <mergeCell ref="I35:L49"/>
    <mergeCell ref="A1:L1"/>
    <mergeCell ref="A2:L2"/>
    <mergeCell ref="A5:D19"/>
    <mergeCell ref="E5:H19"/>
    <mergeCell ref="I5:L19"/>
    <mergeCell ref="L3:L4"/>
    <mergeCell ref="A3:K3"/>
    <mergeCell ref="A4:K4"/>
  </mergeCells>
  <printOptions horizontalCentered="1"/>
  <pageMargins left="0.19685039370078741" right="0.19685039370078741" top="0.19685039370078741" bottom="0.19685039370078741" header="0" footer="0"/>
  <pageSetup paperSize="9" scale="80" orientation="landscape" horizontalDpi="400" verticalDpi="400" r:id="rId1"/>
  <headerFooter alignWithMargins="0">
    <oddFooter>&amp;CFolha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 macro="[0]!ImportarFoto">
                <anchor moveWithCells="1">
                  <from>
                    <xdr:col>0</xdr:col>
                    <xdr:colOff>409575</xdr:colOff>
                    <xdr:row>50</xdr:row>
                    <xdr:rowOff>57150</xdr:rowOff>
                  </from>
                  <to>
                    <xdr:col>1</xdr:col>
                    <xdr:colOff>542925</xdr:colOff>
                    <xdr:row>52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8197-786B-4E81-A716-50E913DE2F07}">
  <sheetPr codeName="Planilha1">
    <pageSetUpPr fitToPage="1"/>
  </sheetPr>
  <dimension ref="A1:M81"/>
  <sheetViews>
    <sheetView showGridLines="0" view="pageBreakPreview" zoomScaleNormal="100" zoomScaleSheetLayoutView="100" workbookViewId="0">
      <selection activeCell="B8" sqref="B8:E8"/>
    </sheetView>
  </sheetViews>
  <sheetFormatPr defaultColWidth="9.140625" defaultRowHeight="12.75" x14ac:dyDescent="0.2"/>
  <cols>
    <col min="1" max="1" width="36.28515625" style="40" customWidth="1"/>
    <col min="2" max="2" width="15.28515625" style="40" bestFit="1" customWidth="1"/>
    <col min="3" max="3" width="14.5703125" style="40" customWidth="1"/>
    <col min="4" max="4" width="15.42578125" style="40" customWidth="1"/>
    <col min="5" max="5" width="18.42578125" style="40" bestFit="1" customWidth="1"/>
    <col min="6" max="6" width="9" style="40" bestFit="1" customWidth="1"/>
    <col min="7" max="7" width="11" style="40" customWidth="1"/>
    <col min="8" max="16384" width="9.140625" style="40"/>
  </cols>
  <sheetData>
    <row r="1" spans="1:11" s="31" customFormat="1" ht="56.25" customHeight="1" x14ac:dyDescent="0.2">
      <c r="A1" s="465"/>
      <c r="B1" s="465"/>
      <c r="C1" s="465"/>
      <c r="D1" s="465"/>
      <c r="E1" s="465"/>
    </row>
    <row r="2" spans="1:11" s="31" customFormat="1" ht="15.75" x14ac:dyDescent="0.2">
      <c r="A2" s="32"/>
      <c r="B2" s="32"/>
      <c r="C2" s="32"/>
      <c r="D2" s="32"/>
      <c r="E2" s="32"/>
    </row>
    <row r="3" spans="1:11" s="34" customFormat="1" ht="15.75" x14ac:dyDescent="0.2">
      <c r="A3" s="466" t="s">
        <v>64</v>
      </c>
      <c r="B3" s="466"/>
      <c r="C3" s="466"/>
      <c r="D3" s="466"/>
      <c r="E3" s="466"/>
    </row>
    <row r="4" spans="1:11" s="34" customFormat="1" ht="9" customHeight="1" x14ac:dyDescent="0.2">
      <c r="A4" s="33"/>
      <c r="B4" s="33"/>
      <c r="C4" s="33"/>
      <c r="D4" s="33"/>
      <c r="E4" s="33"/>
    </row>
    <row r="5" spans="1:11" s="37" customFormat="1" ht="15.75" customHeight="1" x14ac:dyDescent="0.2">
      <c r="A5" s="35" t="s">
        <v>65</v>
      </c>
      <c r="B5" s="467"/>
      <c r="C5" s="467"/>
      <c r="D5" s="467"/>
      <c r="E5" s="467"/>
      <c r="F5" s="36"/>
      <c r="G5" s="36"/>
      <c r="H5" s="36"/>
      <c r="I5" s="36"/>
      <c r="J5" s="36"/>
      <c r="K5" s="36"/>
    </row>
    <row r="6" spans="1:11" s="37" customFormat="1" ht="15.75" customHeight="1" x14ac:dyDescent="0.2">
      <c r="A6" s="35" t="s">
        <v>66</v>
      </c>
      <c r="B6" s="467"/>
      <c r="C6" s="467"/>
      <c r="D6" s="467"/>
      <c r="E6" s="467"/>
      <c r="F6" s="36"/>
      <c r="G6" s="36"/>
      <c r="H6" s="36"/>
      <c r="I6" s="36"/>
      <c r="J6" s="36"/>
      <c r="K6" s="36"/>
    </row>
    <row r="7" spans="1:11" s="37" customFormat="1" ht="76.5" customHeight="1" x14ac:dyDescent="0.2">
      <c r="A7" s="35" t="s">
        <v>67</v>
      </c>
      <c r="B7" s="456" t="str">
        <f>PLAN!A4</f>
        <v>OBRA: SISTEMA DE REGISTRO DE PREÇOS P/ EXECUÇÃO DE SERVIÇOS DIVERSOS DE ENGENHARIA</v>
      </c>
      <c r="C7" s="456"/>
      <c r="D7" s="456"/>
      <c r="E7" s="456"/>
      <c r="F7" s="36"/>
      <c r="G7" s="36"/>
      <c r="H7" s="36"/>
      <c r="I7" s="36"/>
      <c r="J7" s="36"/>
      <c r="K7" s="36"/>
    </row>
    <row r="8" spans="1:11" s="37" customFormat="1" ht="33" customHeight="1" x14ac:dyDescent="0.2">
      <c r="A8" s="35" t="s">
        <v>68</v>
      </c>
      <c r="B8" s="456" t="s">
        <v>69</v>
      </c>
      <c r="C8" s="456"/>
      <c r="D8" s="456"/>
      <c r="E8" s="456"/>
      <c r="F8" s="36" t="str">
        <f>IF(B8&lt;&gt;"","OK","PREENCHER")</f>
        <v>OK</v>
      </c>
      <c r="G8" s="36"/>
      <c r="H8" s="36"/>
      <c r="I8" s="36"/>
      <c r="J8" s="36"/>
      <c r="K8" s="36"/>
    </row>
    <row r="9" spans="1:11" s="37" customFormat="1" ht="33" customHeight="1" x14ac:dyDescent="0.2">
      <c r="A9" s="35" t="s">
        <v>70</v>
      </c>
      <c r="B9" s="457">
        <v>0.6</v>
      </c>
      <c r="C9" s="457"/>
      <c r="D9" s="457"/>
      <c r="E9" s="457"/>
      <c r="F9" s="36" t="str">
        <f>IF(B9&lt;&gt;"","OK","PREENCHER")</f>
        <v>OK</v>
      </c>
      <c r="G9" s="38"/>
      <c r="H9" s="36"/>
      <c r="I9" s="36"/>
      <c r="J9" s="36"/>
      <c r="K9" s="36"/>
    </row>
    <row r="10" spans="1:11" s="37" customFormat="1" ht="19.5" customHeight="1" x14ac:dyDescent="0.2">
      <c r="A10" s="35" t="s">
        <v>71</v>
      </c>
      <c r="B10" s="456" t="s">
        <v>102</v>
      </c>
      <c r="C10" s="456"/>
      <c r="D10" s="456"/>
      <c r="E10" s="456"/>
      <c r="F10" s="36" t="str">
        <f>IF(B10&lt;&gt;"","OK","PREENCHER")</f>
        <v>OK</v>
      </c>
      <c r="G10" s="36"/>
      <c r="H10" s="36"/>
      <c r="I10" s="36"/>
      <c r="J10" s="36"/>
      <c r="K10" s="36"/>
    </row>
    <row r="11" spans="1:11" s="37" customFormat="1" ht="9" thickBot="1" x14ac:dyDescent="0.25">
      <c r="F11" s="36"/>
      <c r="G11" s="36"/>
      <c r="H11" s="36"/>
      <c r="I11" s="36"/>
      <c r="J11" s="36"/>
      <c r="K11" s="36"/>
    </row>
    <row r="12" spans="1:11" ht="19.5" customHeight="1" x14ac:dyDescent="0.2">
      <c r="A12" s="458" t="s">
        <v>1</v>
      </c>
      <c r="B12" s="460" t="s">
        <v>72</v>
      </c>
      <c r="C12" s="461"/>
      <c r="D12" s="462"/>
      <c r="E12" s="463" t="s">
        <v>73</v>
      </c>
      <c r="F12" s="39"/>
      <c r="G12" s="39"/>
      <c r="H12" s="39"/>
      <c r="I12" s="39"/>
      <c r="J12" s="39"/>
      <c r="K12" s="39"/>
    </row>
    <row r="13" spans="1:11" ht="36" customHeight="1" thickBot="1" x14ac:dyDescent="0.25">
      <c r="A13" s="459"/>
      <c r="B13" s="41" t="s">
        <v>74</v>
      </c>
      <c r="C13" s="41" t="s">
        <v>75</v>
      </c>
      <c r="D13" s="42" t="s">
        <v>76</v>
      </c>
      <c r="E13" s="464"/>
      <c r="F13" s="39"/>
      <c r="G13" s="39"/>
      <c r="H13" s="39"/>
      <c r="I13" s="39"/>
      <c r="J13" s="39"/>
      <c r="K13" s="39"/>
    </row>
    <row r="14" spans="1:11" ht="15.75" x14ac:dyDescent="0.2">
      <c r="A14" s="43" t="s">
        <v>77</v>
      </c>
      <c r="B14" s="44">
        <f>IF(ISERROR(VLOOKUP($B$8,'[2]Base dados - TCU 2622_2013'!$A$7:$V$14,2,)),"",VLOOKUP($B$8,'[2]Base dados - TCU 2622_2013'!$A$7:$V$14,2,))</f>
        <v>3.8</v>
      </c>
      <c r="C14" s="44">
        <f>IF(ISERROR(VLOOKUP($B$8,'[2]Base dados - TCU 2622_2013'!$A$7:$V$14,3,)),"",VLOOKUP($B$8,'[2]Base dados - TCU 2622_2013'!$A$7:$V$14,3,))</f>
        <v>4.01</v>
      </c>
      <c r="D14" s="44">
        <f>IF(ISERROR(VLOOKUP($B$8,'[2]Base dados - TCU 2622_2013'!$A$7:$V$14,4,)),"",VLOOKUP($B$8,'[2]Base dados - TCU 2622_2013'!$A$7:$V$14,4,))</f>
        <v>4.67</v>
      </c>
      <c r="E14" s="45">
        <v>4.01</v>
      </c>
      <c r="F14" s="36" t="str">
        <f>IF(AND(E14&gt;=B14,E14&lt;=D14),"OK","PREENCHER")</f>
        <v>OK</v>
      </c>
      <c r="G14" s="46"/>
      <c r="H14" s="39"/>
      <c r="I14" s="39"/>
      <c r="J14" s="39"/>
      <c r="K14" s="39"/>
    </row>
    <row r="15" spans="1:11" ht="15.75" x14ac:dyDescent="0.2">
      <c r="A15" s="47" t="s">
        <v>78</v>
      </c>
      <c r="B15" s="44">
        <f>IF(ISERROR(VLOOKUP($B$8,'[2]Base dados - TCU 2622_2013'!$A$7:$V$14,5,)),"",VLOOKUP($B$8,'[2]Base dados - TCU 2622_2013'!$A$7:$V$14,5,))</f>
        <v>0.32</v>
      </c>
      <c r="C15" s="44">
        <f>IF(ISERROR(VLOOKUP($B$8,'[2]Base dados - TCU 2622_2013'!$A$7:$V$14,6,)),"",VLOOKUP($B$8,'[2]Base dados - TCU 2622_2013'!$A$7:$V$14,6,))</f>
        <v>0.4</v>
      </c>
      <c r="D15" s="44">
        <f>IF(ISERROR(VLOOKUP($B$8,'[2]Base dados - TCU 2622_2013'!$A$7:$V$14,7,)),"",VLOOKUP($B$8,'[2]Base dados - TCU 2622_2013'!$A$7:$V$14,7,))</f>
        <v>0.74</v>
      </c>
      <c r="E15" s="48">
        <v>0.4</v>
      </c>
      <c r="F15" s="36" t="str">
        <f t="shared" ref="F15:F22" si="0">IF(AND(E15&gt;=B15,E15&lt;=D15),"OK","PREENCHER")</f>
        <v>OK</v>
      </c>
      <c r="G15" s="49"/>
      <c r="H15" s="39"/>
      <c r="I15" s="39"/>
      <c r="J15" s="39"/>
      <c r="K15" s="39"/>
    </row>
    <row r="16" spans="1:11" ht="15.75" x14ac:dyDescent="0.2">
      <c r="A16" s="47" t="s">
        <v>79</v>
      </c>
      <c r="B16" s="44">
        <f>IF(ISERROR(VLOOKUP($B$8,'[2]Base dados - TCU 2622_2013'!$A$7:$V$14,8,)),"",VLOOKUP($B$8,'[2]Base dados - TCU 2622_2013'!$A$7:$V$14,8,))</f>
        <v>0.5</v>
      </c>
      <c r="C16" s="44">
        <f>IF(ISERROR(VLOOKUP($B$8,'[2]Base dados - TCU 2622_2013'!$A$7:$V$14,6,)),"",VLOOKUP($B$8,'[2]Base dados - TCU 2622_2013'!$A$7:$V$14,9,))</f>
        <v>0.56000000000000005</v>
      </c>
      <c r="D16" s="44">
        <f>IF(ISERROR(VLOOKUP($B$8,'[2]Base dados - TCU 2622_2013'!$A$7:$V$14,7,)),"",VLOOKUP($B$8,'[2]Base dados - TCU 2622_2013'!$A$7:$V$14,10,))</f>
        <v>0.97</v>
      </c>
      <c r="E16" s="48">
        <v>0.56000000000000005</v>
      </c>
      <c r="F16" s="36" t="str">
        <f t="shared" si="0"/>
        <v>OK</v>
      </c>
      <c r="G16" s="49"/>
      <c r="H16" s="39"/>
      <c r="I16" s="39"/>
      <c r="J16" s="39"/>
      <c r="K16" s="39"/>
    </row>
    <row r="17" spans="1:13" ht="15.75" x14ac:dyDescent="0.2">
      <c r="A17" s="43" t="s">
        <v>80</v>
      </c>
      <c r="B17" s="44">
        <f>IF(ISERROR(VLOOKUP($B$8,'[2]Base dados - TCU 2622_2013'!$A$7:$V$14,11,)),"",VLOOKUP($B$8,'[2]Base dados - TCU 2622_2013'!$A$7:$V$14,11,))</f>
        <v>1.02</v>
      </c>
      <c r="C17" s="44">
        <f>IF(ISERROR(VLOOKUP($B$8,'[2]Base dados - TCU 2622_2013'!$A$7:$V$14,12,)),"",VLOOKUP($B$8,'[2]Base dados - TCU 2622_2013'!$A$7:$V$14,12,))</f>
        <v>1.1100000000000001</v>
      </c>
      <c r="D17" s="44">
        <f>IF(ISERROR(VLOOKUP($B$8,'[2]Base dados - TCU 2622_2013'!$A$7:$V$14,13,)),"",VLOOKUP($B$8,'[2]Base dados - TCU 2622_2013'!$A$7:$V$14,13,))</f>
        <v>1.21</v>
      </c>
      <c r="E17" s="48">
        <v>1.1100000000000001</v>
      </c>
      <c r="F17" s="36" t="str">
        <f t="shared" si="0"/>
        <v>OK</v>
      </c>
      <c r="G17" s="49"/>
      <c r="H17" s="39"/>
      <c r="I17" s="39"/>
      <c r="J17" s="39"/>
      <c r="K17" s="39"/>
    </row>
    <row r="18" spans="1:13" ht="15.75" x14ac:dyDescent="0.2">
      <c r="A18" s="43" t="s">
        <v>81</v>
      </c>
      <c r="B18" s="44">
        <f>IF(ISERROR(VLOOKUP($B$8,'[2]Base dados - TCU 2622_2013'!$A$7:$V$14,14,)),"",VLOOKUP($B$8,'[2]Base dados - TCU 2622_2013'!$A$7:$V$14,14,))</f>
        <v>6.64</v>
      </c>
      <c r="C18" s="44">
        <f>IF(ISERROR(VLOOKUP($B$8,'[2]Base dados - TCU 2622_2013'!$A$7:$V$14,15,)),"",VLOOKUP($B$8,'[2]Base dados - TCU 2622_2013'!$A$7:$V$14,15,))</f>
        <v>7.3</v>
      </c>
      <c r="D18" s="44">
        <f>IF(ISERROR(VLOOKUP($B$8,'[2]Base dados - TCU 2622_2013'!$A$7:$V$14,16,)),"",VLOOKUP($B$8,'[2]Base dados - TCU 2622_2013'!$A$7:$V$14,16,))</f>
        <v>8.69</v>
      </c>
      <c r="E18" s="48">
        <v>7.3</v>
      </c>
      <c r="F18" s="36" t="str">
        <f t="shared" si="0"/>
        <v>OK</v>
      </c>
      <c r="G18" s="49"/>
      <c r="H18" s="39"/>
      <c r="I18" s="39"/>
      <c r="J18" s="39"/>
      <c r="K18" s="39"/>
    </row>
    <row r="19" spans="1:13" ht="15.75" x14ac:dyDescent="0.2">
      <c r="A19" s="43" t="s">
        <v>82</v>
      </c>
      <c r="B19" s="44">
        <f>IF(ISERROR(VLOOKUP($B$8,'[2]Base dados - TCU 2622_2013'!$A$7:$V$14,17,)),"",VLOOKUP($B$8,'[2]Base dados - TCU 2622_2013'!$A$7:$V$14,17,))</f>
        <v>3</v>
      </c>
      <c r="C19" s="44">
        <f>IF(ISERROR(VLOOKUP($B$8,'[2]Base dados - TCU 2622_2013'!$A$7:$V$14,17,)),"",VLOOKUP($B$8,'[2]Base dados - TCU 2622_2013'!$A$7:$V$14,17,))</f>
        <v>3</v>
      </c>
      <c r="D19" s="44">
        <f>IF(ISERROR(VLOOKUP($B$8,'[2]Base dados - TCU 2622_2013'!$A$7:$V$14,17,)),"",VLOOKUP($B$8,'[2]Base dados - TCU 2622_2013'!$A$7:$V$14,17,))</f>
        <v>3</v>
      </c>
      <c r="E19" s="48">
        <v>3</v>
      </c>
      <c r="F19" s="36" t="str">
        <f t="shared" si="0"/>
        <v>OK</v>
      </c>
      <c r="G19" s="39"/>
      <c r="H19" s="39"/>
      <c r="I19" s="39"/>
      <c r="J19" s="39"/>
      <c r="K19" s="39"/>
    </row>
    <row r="20" spans="1:13" ht="15.75" x14ac:dyDescent="0.2">
      <c r="A20" s="43" t="s">
        <v>83</v>
      </c>
      <c r="B20" s="44">
        <f>IF(ISERROR(VLOOKUP($B$8,'[2]Base dados - TCU 2622_2013'!$A$7:$V$14,18,)),"",VLOOKUP($B$8,'[2]Base dados - TCU 2622_2013'!$A$7:$V$14,18,))</f>
        <v>0.65</v>
      </c>
      <c r="C20" s="44">
        <f>IF(ISERROR(VLOOKUP($B$8,'[2]Base dados - TCU 2622_2013'!$A$7:$V$14,18,)),"",VLOOKUP($B$8,'[2]Base dados - TCU 2622_2013'!$A$7:$V$14,18,))</f>
        <v>0.65</v>
      </c>
      <c r="D20" s="44">
        <f>IF(ISERROR(VLOOKUP($B$8,'[2]Base dados - TCU 2622_2013'!$A$7:$V$14,18,)),"",VLOOKUP($B$8,'[2]Base dados - TCU 2622_2013'!$A$7:$V$14,18,))</f>
        <v>0.65</v>
      </c>
      <c r="E20" s="48">
        <v>0.65</v>
      </c>
      <c r="F20" s="36" t="str">
        <f t="shared" si="0"/>
        <v>OK</v>
      </c>
      <c r="G20" s="39"/>
      <c r="H20" s="39"/>
      <c r="I20" s="39"/>
      <c r="J20" s="39"/>
      <c r="K20" s="39"/>
    </row>
    <row r="21" spans="1:13" ht="15.75" x14ac:dyDescent="0.2">
      <c r="A21" s="43" t="s">
        <v>84</v>
      </c>
      <c r="B21" s="44">
        <f>IF(ISERROR(VLOOKUP($B$8,'[2]Base dados - TCU 2622_2013'!$A$7:$V$14,19,)),"",VLOOKUP($B$8,'[2]Base dados - TCU 2622_2013'!$A$7:$V$14,19,))</f>
        <v>2</v>
      </c>
      <c r="C21" s="44">
        <f>IF(ISERROR(VLOOKUP($B$8,'[2]Base dados - TCU 2622_2013'!$A$7:$V$14,20,)),"",VLOOKUP($B$8,'[2]Base dados - TCU 2622_2013'!$A$7:$V$14,20,))</f>
        <v>3.5</v>
      </c>
      <c r="D21" s="44">
        <f>IF(ISERROR(VLOOKUP($B$8,'[2]Base dados - TCU 2622_2013'!$A$7:$V$14,21,)),"",VLOOKUP($B$8,'[2]Base dados - TCU 2622_2013'!$A$7:$V$14,21,))</f>
        <v>5</v>
      </c>
      <c r="E21" s="48">
        <v>3</v>
      </c>
      <c r="F21" s="36" t="str">
        <f t="shared" si="0"/>
        <v>OK</v>
      </c>
      <c r="G21" s="50"/>
      <c r="H21" s="51"/>
      <c r="I21" s="51"/>
      <c r="J21" s="51"/>
      <c r="K21" s="39"/>
    </row>
    <row r="22" spans="1:13" ht="30" customHeight="1" thickBot="1" x14ac:dyDescent="0.25">
      <c r="A22" s="43" t="str">
        <f>IF(B10="sim","CPRB - Alíquota 4,5% Receita Bruta (Desoneração)","")</f>
        <v>CPRB - Alíquota 4,5% Receita Bruta (Desoneração)</v>
      </c>
      <c r="B22" s="44">
        <f>IF($A$22="CPRB - Alíquota 4,5% Receita Bruta (Desoneração)",4.5,IF($B$10="","Preencher cabeçalho",0))</f>
        <v>4.5</v>
      </c>
      <c r="C22" s="44">
        <f>IF($A$22="CPRB - Alíquota 4,5% Receita Bruta (Desoneração)",4.5,IF($B$10="","Preencher cabeçalho",0))</f>
        <v>4.5</v>
      </c>
      <c r="D22" s="52">
        <f>IF($A$22="CPRB - Alíquota 4,5% Receita Bruta (Desoneração)",4.5,IF($B$10="","Preencher cabeçalho",0))</f>
        <v>4.5</v>
      </c>
      <c r="E22" s="53">
        <f>IF(B10="SIM",4.5,0)</f>
        <v>4.5</v>
      </c>
      <c r="F22" s="36" t="str">
        <f t="shared" si="0"/>
        <v>OK</v>
      </c>
      <c r="G22" s="51"/>
      <c r="H22" s="51"/>
      <c r="I22" s="51"/>
      <c r="J22" s="51"/>
      <c r="K22" s="39"/>
    </row>
    <row r="23" spans="1:13" ht="48" customHeight="1" thickBot="1" x14ac:dyDescent="0.25">
      <c r="A23" s="54" t="s">
        <v>85</v>
      </c>
      <c r="B23" s="55">
        <f>IF($B$10="SIM",E28,"")</f>
        <v>25.576679622431975</v>
      </c>
      <c r="C23" s="55">
        <f>IF($B$10="SIM",J27,"")</f>
        <v>27.015141588006664</v>
      </c>
      <c r="D23" s="55">
        <f>IF($B$10="SIM",L27,"")</f>
        <v>30.43805108273181</v>
      </c>
      <c r="E23" s="56">
        <f>IF(B10="SIM",IF(G23&lt;12,"PREENCHER CÉLULAS RESTANTES",((((1+E14/100+E15/100+E16/100)*(1+E17/100)*(1+E18/100))/(1-((E19+E20+E21*$B$9+E22)/100))-1)*100)),"")</f>
        <v>26.466445520266557</v>
      </c>
      <c r="F23" s="39"/>
      <c r="G23" s="57">
        <f>COUNTIF(F8:F22,"OK")</f>
        <v>12</v>
      </c>
      <c r="I23" s="58"/>
      <c r="J23" s="39"/>
      <c r="K23" s="39"/>
    </row>
    <row r="24" spans="1:13" s="37" customFormat="1" ht="48.75" customHeight="1" thickBot="1" x14ac:dyDescent="0.25">
      <c r="A24" s="54" t="s">
        <v>86</v>
      </c>
      <c r="B24" s="55">
        <f>IF(B8&lt;&gt;"",VLOOKUP($B$8,'[2]Base dados - TCU 2622_2013'!$A$7:$Y$14,23,),"")</f>
        <v>19.600000000000001</v>
      </c>
      <c r="C24" s="55">
        <f>IF(B8&lt;&gt;"",VLOOKUP($B$8,'[2]Base dados - TCU 2622_2013'!$A$7:$Y$14,24,),"")</f>
        <v>20.97</v>
      </c>
      <c r="D24" s="55">
        <f>IF(B8&lt;&gt;"",VLOOKUP($B$8,'[2]Base dados - TCU 2622_2013'!$A$7:$Y$14,25,),"")</f>
        <v>24.23</v>
      </c>
      <c r="E24" s="56" t="str">
        <f>IF(B10="NÃO",IF(G23&lt;12,"PREENCHER CÉLULAS RESTANTES",((((1+E14/100+E15/100+E16/100)*(1+E17/100)*(1+E18/100))/(1-((E19+E20+E21*$B$9)/100))-1)*100)),"")</f>
        <v/>
      </c>
      <c r="F24" s="36" t="str">
        <f>IF(E26="ERRADO","BDI EXTRAPOLA A MAIS OU A MENOS OS LIMITES DO BDI ESTABELECIDOS PELO TCYU ACÓRDÃO 2622/2013","")</f>
        <v/>
      </c>
      <c r="G24" s="59"/>
      <c r="H24" s="59"/>
      <c r="I24" s="60"/>
      <c r="J24" s="36"/>
      <c r="K24" s="36"/>
    </row>
    <row r="25" spans="1:13" s="37" customFormat="1" ht="16.5" thickBot="1" x14ac:dyDescent="0.25">
      <c r="A25" s="61" t="s">
        <v>87</v>
      </c>
      <c r="F25" s="36"/>
      <c r="H25" s="60"/>
      <c r="I25" s="60"/>
      <c r="J25" s="36"/>
      <c r="K25" s="36"/>
    </row>
    <row r="26" spans="1:13" s="37" customFormat="1" ht="15.75" customHeight="1" thickBot="1" x14ac:dyDescent="0.25">
      <c r="A26" s="61" t="s">
        <v>88</v>
      </c>
      <c r="D26" s="62" t="s">
        <v>89</v>
      </c>
      <c r="E26" s="63" t="str">
        <f>IF(B10="NÃO",(IF(E24&gt;D24,"INADEQUADO",IF(E24&lt;B24,"INADEQUADO","OK"))),IF(B10="SIM",(IF(E23&gt;D23,"INADEQUADO",IF(E23&lt;B23,"INADEQUADO","OK"))),""))</f>
        <v>OK</v>
      </c>
      <c r="F26" s="64" t="s">
        <v>90</v>
      </c>
      <c r="G26" s="60"/>
      <c r="H26" s="60"/>
      <c r="I26" s="60"/>
      <c r="J26" s="36"/>
      <c r="K26" s="36"/>
    </row>
    <row r="27" spans="1:13" x14ac:dyDescent="0.2">
      <c r="D27" s="65" t="str">
        <f>IF(B10="SIM","BDI s/ desoneração:","")</f>
        <v>BDI s/ desoneração:</v>
      </c>
      <c r="E27" s="66">
        <f>IF(B10="SIM",((((1+E14/100+E15/100+E16/100)*(1+E17/100)*(1+E18/100))/(1-((E19+E20+E21*$B$9)/100))-1)*100),"")</f>
        <v>20.447418499206794</v>
      </c>
      <c r="F27" s="64" t="s">
        <v>91</v>
      </c>
      <c r="G27" s="58"/>
      <c r="I27" s="57">
        <f>VLOOKUP($B$8,'[2]Base dados - TCU 2622_2013'!$A$7:$Y$14,23,)</f>
        <v>19.600000000000001</v>
      </c>
      <c r="J27" s="57">
        <f>((1+K27/100)*(((0.045/(0.9185-$E$21/100*$B$9))+1))-1)*100</f>
        <v>27.015141588006664</v>
      </c>
      <c r="K27" s="57">
        <f>VLOOKUP($B$8,'[2]Base dados - TCU 2622_2013'!$A$7:$Y$14,24,)</f>
        <v>20.97</v>
      </c>
      <c r="L27" s="57">
        <f>((1+M27/100)*(((0.045/(0.9185-$E$21/100*$B$9))+1))-1)*100</f>
        <v>30.43805108273181</v>
      </c>
      <c r="M27" s="57">
        <f>VLOOKUP($B$8,'[2]Base dados - TCU 2622_2013'!$A$7:$Y$14,25,)</f>
        <v>24.23</v>
      </c>
    </row>
    <row r="28" spans="1:13" ht="15.75" x14ac:dyDescent="0.2">
      <c r="A28" s="447" t="s">
        <v>92</v>
      </c>
      <c r="B28" s="447"/>
      <c r="C28" s="447"/>
      <c r="D28" s="447"/>
      <c r="E28" s="67">
        <f>((1+I27/100)*(((0.045/(0.9185-$E$21/100*$B$9))+1))-1)*100</f>
        <v>25.576679622431975</v>
      </c>
      <c r="F28" s="60"/>
      <c r="G28" s="39"/>
      <c r="I28" s="57"/>
      <c r="J28" s="57">
        <f>((1+K27/100)*(0.9635-$E$21*$B$9/100)/(0.9435-$E$22*$B$9/100)-1)*100</f>
        <v>24.797746863066017</v>
      </c>
      <c r="K28" s="57"/>
      <c r="L28" s="57">
        <f>((1+M27/100)*(0.9635-$E$21*$B$9/100)/(0.9435-$E$22*$B$9/100)-1)*100</f>
        <v>28.160900163666124</v>
      </c>
      <c r="M28" s="57"/>
    </row>
    <row r="29" spans="1:13" x14ac:dyDescent="0.2">
      <c r="E29" s="67">
        <f>((1+I27/100)*(0.9635-$E$21*$B$9/100)/(0.9185-$E$22*$B$9/100)-1)*100</f>
        <v>26.84441951766685</v>
      </c>
      <c r="F29" s="60"/>
      <c r="G29" s="39"/>
      <c r="H29" s="39"/>
      <c r="I29" s="39"/>
      <c r="J29" s="39"/>
      <c r="K29" s="39"/>
      <c r="L29" s="39"/>
    </row>
    <row r="30" spans="1:13" x14ac:dyDescent="0.2">
      <c r="F30" s="39"/>
    </row>
    <row r="31" spans="1:13" x14ac:dyDescent="0.2">
      <c r="F31" s="39"/>
    </row>
    <row r="32" spans="1:13" x14ac:dyDescent="0.2">
      <c r="F32" s="39"/>
    </row>
    <row r="33" spans="1:11" ht="15" x14ac:dyDescent="0.2">
      <c r="A33" s="68" t="s">
        <v>93</v>
      </c>
      <c r="F33" s="39"/>
      <c r="G33" s="39"/>
      <c r="H33" s="39"/>
      <c r="I33" s="39"/>
      <c r="J33" s="39"/>
      <c r="K33" s="39"/>
    </row>
    <row r="34" spans="1:11" ht="15" x14ac:dyDescent="0.2">
      <c r="A34" s="449" t="s">
        <v>94</v>
      </c>
      <c r="B34" s="449"/>
      <c r="C34" s="449"/>
      <c r="D34" s="449"/>
      <c r="F34" s="39"/>
      <c r="G34" s="39"/>
      <c r="H34" s="39"/>
      <c r="I34" s="39"/>
      <c r="J34" s="39"/>
      <c r="K34" s="39"/>
    </row>
    <row r="35" spans="1:11" ht="15" x14ac:dyDescent="0.2">
      <c r="A35" s="449" t="s">
        <v>95</v>
      </c>
      <c r="B35" s="449"/>
      <c r="C35" s="449"/>
      <c r="D35" s="449"/>
      <c r="F35" s="39"/>
      <c r="G35" s="39"/>
      <c r="H35" s="39"/>
      <c r="I35" s="39"/>
      <c r="J35" s="39"/>
      <c r="K35" s="39"/>
    </row>
    <row r="36" spans="1:11" ht="15" x14ac:dyDescent="0.2">
      <c r="A36" s="449" t="s">
        <v>96</v>
      </c>
      <c r="B36" s="449"/>
      <c r="C36" s="449"/>
      <c r="D36" s="449"/>
      <c r="F36" s="39"/>
      <c r="G36" s="39"/>
      <c r="H36" s="39"/>
      <c r="I36" s="39"/>
      <c r="J36" s="39"/>
      <c r="K36" s="39"/>
    </row>
    <row r="37" spans="1:11" ht="15" x14ac:dyDescent="0.2">
      <c r="A37" s="449" t="s">
        <v>97</v>
      </c>
      <c r="B37" s="449"/>
      <c r="C37" s="449"/>
      <c r="D37" s="449"/>
      <c r="E37" s="449"/>
      <c r="F37" s="39"/>
      <c r="H37" s="39"/>
      <c r="I37" s="39"/>
      <c r="J37" s="39"/>
      <c r="K37" s="39"/>
    </row>
    <row r="38" spans="1:11" ht="15" x14ac:dyDescent="0.2">
      <c r="A38" s="449" t="s">
        <v>98</v>
      </c>
      <c r="B38" s="449"/>
      <c r="C38" s="449"/>
      <c r="D38" s="449"/>
      <c r="F38" s="39"/>
      <c r="G38" s="39"/>
      <c r="H38" s="39"/>
      <c r="I38" s="39"/>
      <c r="J38" s="39"/>
      <c r="K38" s="39"/>
    </row>
    <row r="39" spans="1:11" ht="15" x14ac:dyDescent="0.2">
      <c r="A39" s="69"/>
      <c r="B39" s="69"/>
      <c r="C39" s="69"/>
      <c r="D39" s="69"/>
      <c r="F39" s="39"/>
      <c r="G39" s="39"/>
      <c r="H39" s="39"/>
      <c r="I39" s="39"/>
      <c r="J39" s="39"/>
      <c r="K39" s="39"/>
    </row>
    <row r="40" spans="1:11" ht="68.25" customHeight="1" x14ac:dyDescent="0.2">
      <c r="A40" s="450" t="str">
        <f>CONCATENATE("Declaro para os devidos fins que, conforme legislação tributária municipal, a base de cálculo do ISS para ",B8," é de ",B9*100,"%, com a respectiva alíquota de ",E21,"%. Declaramos ainda que adotamos orçamento ",IF(B10="SIM","Com Desoneração",IF(B10="NÃO","Sem Desoneração",""))," e que esta é a alternativa mais adequada para a Administração Pública.")</f>
        <v>Declaro para os devidos fins que, conforme legislação tributária municipal, a base de cálculo do ISS para Construção de Rodovias (Pavimentação Urbana) é de 60%, com a respectiva alíquota de 3%. Declaramos ainda que adotamos orçamento Com Desoneração e que esta é a alternativa mais adequada para a Administração Pública.</v>
      </c>
      <c r="B40" s="451"/>
      <c r="C40" s="451"/>
      <c r="D40" s="451"/>
      <c r="E40" s="452"/>
      <c r="F40" s="39"/>
      <c r="G40" s="39"/>
      <c r="H40" s="39"/>
      <c r="I40" s="39"/>
      <c r="J40" s="39"/>
      <c r="K40" s="39"/>
    </row>
    <row r="41" spans="1:11" ht="15" x14ac:dyDescent="0.2">
      <c r="A41" s="69"/>
      <c r="B41" s="69"/>
      <c r="C41" s="69"/>
      <c r="D41" s="69"/>
      <c r="F41" s="39"/>
      <c r="G41" s="39"/>
      <c r="H41" s="39"/>
      <c r="I41" s="39"/>
      <c r="J41" s="39"/>
      <c r="K41" s="39"/>
    </row>
    <row r="42" spans="1:11" ht="15" x14ac:dyDescent="0.25">
      <c r="A42" s="70"/>
      <c r="B42" s="69"/>
      <c r="C42" s="69"/>
      <c r="D42" s="69"/>
      <c r="F42" s="39"/>
      <c r="G42" s="39"/>
      <c r="H42" s="39"/>
      <c r="I42" s="39"/>
      <c r="J42" s="39"/>
      <c r="K42" s="39"/>
    </row>
    <row r="43" spans="1:11" ht="15" x14ac:dyDescent="0.2">
      <c r="A43" s="69"/>
      <c r="B43" s="69"/>
      <c r="C43" s="69"/>
      <c r="D43" s="69"/>
      <c r="F43" s="39"/>
      <c r="G43" s="39"/>
      <c r="H43" s="39"/>
      <c r="I43" s="39"/>
      <c r="J43" s="39"/>
      <c r="K43" s="39"/>
    </row>
    <row r="44" spans="1:11" ht="15" x14ac:dyDescent="0.2">
      <c r="A44" s="71"/>
      <c r="B44" s="69"/>
      <c r="C44" s="453"/>
      <c r="D44" s="453"/>
      <c r="E44" s="453"/>
      <c r="F44" s="39"/>
      <c r="G44" s="39"/>
      <c r="H44" s="39"/>
      <c r="I44" s="39"/>
      <c r="J44" s="39"/>
      <c r="K44" s="39"/>
    </row>
    <row r="45" spans="1:11" ht="15" x14ac:dyDescent="0.2">
      <c r="A45" s="252" t="s">
        <v>218</v>
      </c>
      <c r="B45" s="69"/>
      <c r="C45" s="72" t="s">
        <v>99</v>
      </c>
      <c r="D45" s="454"/>
      <c r="E45" s="454"/>
      <c r="F45" s="39"/>
      <c r="G45" s="39"/>
      <c r="H45" s="39"/>
      <c r="I45" s="39"/>
      <c r="J45" s="39"/>
      <c r="K45" s="39"/>
    </row>
    <row r="46" spans="1:11" ht="15" x14ac:dyDescent="0.2">
      <c r="A46" s="252" t="s">
        <v>219</v>
      </c>
      <c r="B46" s="69"/>
      <c r="C46" s="72" t="s">
        <v>100</v>
      </c>
      <c r="D46" s="455"/>
      <c r="E46" s="455"/>
      <c r="F46" s="39"/>
      <c r="G46" s="39"/>
      <c r="H46" s="39"/>
      <c r="I46" s="39"/>
      <c r="J46" s="39"/>
      <c r="K46" s="39"/>
    </row>
    <row r="47" spans="1:11" ht="15" x14ac:dyDescent="0.2">
      <c r="A47" s="69"/>
      <c r="B47" s="69"/>
      <c r="C47" s="69"/>
      <c r="D47" s="69"/>
      <c r="F47" s="39"/>
      <c r="G47" s="39"/>
      <c r="H47" s="39"/>
      <c r="I47" s="39"/>
      <c r="J47" s="39"/>
      <c r="K47" s="39"/>
    </row>
    <row r="48" spans="1:11" x14ac:dyDescent="0.2">
      <c r="A48" s="73"/>
      <c r="B48" s="73"/>
      <c r="C48" s="73"/>
      <c r="D48" s="73"/>
      <c r="E48" s="73"/>
    </row>
    <row r="49" spans="1:5" ht="25.5" customHeight="1" x14ac:dyDescent="0.2">
      <c r="A49" s="448"/>
      <c r="B49" s="448"/>
      <c r="C49" s="448"/>
      <c r="D49" s="448"/>
      <c r="E49" s="448"/>
    </row>
    <row r="50" spans="1:5" ht="25.5" customHeight="1" x14ac:dyDescent="0.2">
      <c r="A50" s="74"/>
      <c r="B50" s="74"/>
      <c r="C50" s="74"/>
      <c r="D50" s="74"/>
      <c r="E50" s="74"/>
    </row>
    <row r="51" spans="1:5" ht="25.5" customHeight="1" x14ac:dyDescent="0.2">
      <c r="A51" s="448"/>
      <c r="B51" s="448"/>
      <c r="C51" s="448"/>
      <c r="D51" s="448"/>
      <c r="E51" s="448"/>
    </row>
    <row r="52" spans="1:5" s="31" customFormat="1" x14ac:dyDescent="0.2">
      <c r="A52" s="73"/>
      <c r="B52" s="73"/>
      <c r="C52" s="73"/>
      <c r="D52" s="73"/>
      <c r="E52" s="73"/>
    </row>
    <row r="53" spans="1:5" ht="15.75" x14ac:dyDescent="0.2">
      <c r="A53" s="75"/>
      <c r="B53" s="73"/>
      <c r="C53" s="73"/>
      <c r="D53" s="73"/>
      <c r="E53" s="73"/>
    </row>
    <row r="54" spans="1:5" s="37" customFormat="1" ht="8.25" x14ac:dyDescent="0.2">
      <c r="A54" s="76"/>
      <c r="B54" s="76"/>
      <c r="C54" s="76"/>
      <c r="D54" s="76"/>
      <c r="E54" s="76"/>
    </row>
    <row r="55" spans="1:5" ht="16.5" customHeight="1" x14ac:dyDescent="0.2">
      <c r="A55" s="445"/>
      <c r="B55" s="445"/>
      <c r="C55" s="445"/>
      <c r="D55" s="445"/>
      <c r="E55" s="77"/>
    </row>
    <row r="56" spans="1:5" ht="16.5" customHeight="1" x14ac:dyDescent="0.2">
      <c r="A56" s="445"/>
      <c r="B56" s="446"/>
      <c r="C56" s="446"/>
      <c r="D56" s="446"/>
      <c r="E56" s="77"/>
    </row>
    <row r="57" spans="1:5" ht="15.75" x14ac:dyDescent="0.2">
      <c r="A57" s="445"/>
      <c r="B57" s="78"/>
      <c r="C57" s="78"/>
      <c r="D57" s="78"/>
      <c r="E57" s="77"/>
    </row>
    <row r="58" spans="1:5" ht="15.75" x14ac:dyDescent="0.2">
      <c r="A58" s="79"/>
      <c r="B58" s="80"/>
      <c r="C58" s="80"/>
      <c r="D58" s="80"/>
    </row>
    <row r="59" spans="1:5" ht="15.75" x14ac:dyDescent="0.2">
      <c r="A59" s="79"/>
      <c r="B59" s="80"/>
      <c r="C59" s="80"/>
      <c r="D59" s="80"/>
    </row>
    <row r="60" spans="1:5" ht="15.75" x14ac:dyDescent="0.2">
      <c r="A60" s="79"/>
      <c r="B60" s="80"/>
      <c r="C60" s="80"/>
      <c r="D60" s="80"/>
    </row>
    <row r="61" spans="1:5" ht="15.75" x14ac:dyDescent="0.2">
      <c r="A61" s="79"/>
      <c r="B61" s="80"/>
      <c r="C61" s="80"/>
      <c r="D61" s="80"/>
    </row>
    <row r="62" spans="1:5" ht="15.75" x14ac:dyDescent="0.2">
      <c r="A62" s="79"/>
      <c r="B62" s="80"/>
      <c r="C62" s="80"/>
      <c r="D62" s="80"/>
    </row>
    <row r="63" spans="1:5" ht="15.75" x14ac:dyDescent="0.2">
      <c r="A63" s="81"/>
      <c r="B63" s="82"/>
      <c r="C63" s="82"/>
      <c r="D63" s="82"/>
    </row>
    <row r="64" spans="1:5" ht="15.75" x14ac:dyDescent="0.2">
      <c r="A64" s="79"/>
      <c r="B64" s="80"/>
      <c r="C64" s="80"/>
      <c r="D64" s="80"/>
    </row>
    <row r="65" spans="1:4" ht="15.75" x14ac:dyDescent="0.2">
      <c r="A65" s="79"/>
      <c r="B65" s="80"/>
      <c r="C65" s="80"/>
      <c r="D65" s="80"/>
    </row>
    <row r="66" spans="1:4" ht="15.75" x14ac:dyDescent="0.2">
      <c r="A66" s="79"/>
      <c r="B66" s="80"/>
      <c r="C66" s="80"/>
      <c r="D66" s="80"/>
    </row>
    <row r="67" spans="1:4" ht="15.75" x14ac:dyDescent="0.2">
      <c r="A67" s="81"/>
      <c r="B67" s="82"/>
      <c r="C67" s="82"/>
      <c r="D67" s="82"/>
    </row>
    <row r="68" spans="1:4" s="37" customFormat="1" ht="8.25" x14ac:dyDescent="0.2"/>
    <row r="69" spans="1:4" ht="15.75" x14ac:dyDescent="0.2">
      <c r="A69" s="447"/>
      <c r="B69" s="447"/>
      <c r="C69" s="447"/>
      <c r="D69" s="447"/>
    </row>
    <row r="74" spans="1:4" ht="15" x14ac:dyDescent="0.2">
      <c r="A74" s="68"/>
    </row>
    <row r="75" spans="1:4" ht="15" x14ac:dyDescent="0.2">
      <c r="A75" s="444"/>
      <c r="B75" s="444"/>
      <c r="C75" s="444"/>
      <c r="D75" s="444"/>
    </row>
    <row r="76" spans="1:4" ht="15" x14ac:dyDescent="0.2">
      <c r="A76" s="444"/>
      <c r="B76" s="444"/>
      <c r="C76" s="444"/>
      <c r="D76" s="444"/>
    </row>
    <row r="77" spans="1:4" ht="15" x14ac:dyDescent="0.2">
      <c r="A77" s="444"/>
      <c r="B77" s="444"/>
      <c r="C77" s="444"/>
      <c r="D77" s="444"/>
    </row>
    <row r="78" spans="1:4" ht="15" x14ac:dyDescent="0.2">
      <c r="A78" s="444"/>
      <c r="B78" s="444"/>
      <c r="C78" s="444"/>
      <c r="D78" s="444"/>
    </row>
    <row r="79" spans="1:4" ht="15" x14ac:dyDescent="0.2">
      <c r="A79" s="444"/>
      <c r="B79" s="444"/>
      <c r="C79" s="444"/>
      <c r="D79" s="444"/>
    </row>
    <row r="80" spans="1:4" ht="15" x14ac:dyDescent="0.2">
      <c r="A80" s="444"/>
      <c r="B80" s="444"/>
      <c r="C80" s="444"/>
      <c r="D80" s="444"/>
    </row>
    <row r="81" spans="1:4" ht="15" x14ac:dyDescent="0.2">
      <c r="A81" s="444"/>
      <c r="B81" s="444"/>
      <c r="C81" s="444"/>
      <c r="D81" s="444"/>
    </row>
  </sheetData>
  <sheetProtection password="D921" sheet="1" formatCells="0" formatColumns="0" formatRows="0" insertColumns="0" insertRows="0" insertHyperlinks="0" deleteColumns="0" deleteRows="0" selectLockedCells="1" sort="0" autoFilter="0" pivotTables="0"/>
  <dataConsolidate/>
  <mergeCells count="34">
    <mergeCell ref="A1:E1"/>
    <mergeCell ref="A3:E3"/>
    <mergeCell ref="B5:E5"/>
    <mergeCell ref="B6:E6"/>
    <mergeCell ref="B7:E7"/>
    <mergeCell ref="B8:E8"/>
    <mergeCell ref="B9:E9"/>
    <mergeCell ref="B10:E10"/>
    <mergeCell ref="A12:A13"/>
    <mergeCell ref="B12:D12"/>
    <mergeCell ref="E12:E13"/>
    <mergeCell ref="A28:D28"/>
    <mergeCell ref="A34:D34"/>
    <mergeCell ref="A35:D35"/>
    <mergeCell ref="A36:D36"/>
    <mergeCell ref="A37:E37"/>
    <mergeCell ref="A38:D38"/>
    <mergeCell ref="A40:E40"/>
    <mergeCell ref="C44:E44"/>
    <mergeCell ref="D45:E45"/>
    <mergeCell ref="D46:E46"/>
    <mergeCell ref="A49:E49"/>
    <mergeCell ref="A51:E51"/>
    <mergeCell ref="A55:D55"/>
    <mergeCell ref="A78:D78"/>
    <mergeCell ref="A79:D79"/>
    <mergeCell ref="A80:D80"/>
    <mergeCell ref="A81:D81"/>
    <mergeCell ref="A56:A57"/>
    <mergeCell ref="B56:D56"/>
    <mergeCell ref="A69:D69"/>
    <mergeCell ref="A75:D75"/>
    <mergeCell ref="A76:D76"/>
    <mergeCell ref="A77:D77"/>
  </mergeCells>
  <conditionalFormatting sqref="E26">
    <cfRule type="cellIs" dxfId="1" priority="1" stopIfTrue="1" operator="equal">
      <formula>"INADEQUADO"</formula>
    </cfRule>
    <cfRule type="cellIs" dxfId="0" priority="2" stopIfTrue="1" operator="equal">
      <formula>"OK"</formula>
    </cfRule>
  </conditionalFormatting>
  <dataValidations count="6">
    <dataValidation type="list" allowBlank="1" showInputMessage="1" showErrorMessage="1" errorTitle="ERRO" error="Digitar SIM ou NÃO!" sqref="B10:E10" xr:uid="{3B3D513C-E839-49E0-A852-8719E30AD507}">
      <formula1>sigla_sn</formula1>
    </dataValidation>
    <dataValidation type="decimal" allowBlank="1" showInputMessage="1" showErrorMessage="1" errorTitle="ERRO" error="Digite a % da Nota em que se incide o ISS" promptTitle="COMO PREENCHER:" prompt="- DE 0% A 100% CONFORME APLICADO PELA PREFEITURA NA NOTA PARA MÃO DE OBRA!" sqref="B9:E9" xr:uid="{B5E20673-2038-4313-9CA6-56AAF8553411}">
      <formula1>0</formula1>
      <formula2>1</formula2>
    </dataValidation>
    <dataValidation type="list" allowBlank="1" showInputMessage="1" showErrorMessage="1" errorTitle="ERRO" error="ESCOLHA ENTRE OS TIPOS DE OBRA ESPECIFICADOS !" sqref="B8:E8" xr:uid="{4ED95A28-3AC4-4152-B578-D1AD71FBB6BE}">
      <formula1>sigla_obras</formula1>
    </dataValidation>
    <dataValidation errorStyle="warning" allowBlank="1" showInputMessage="1" showErrorMessage="1" promptTitle="NOTE:" prompt="&lt;=== ADEQUAR PARA OS LIMITES DO BDI ESTABELECIDOS CONFORME TCU ACÓRDÃO 2622/2013 !" sqref="E26" xr:uid="{93D2BB0A-A033-430D-8AA1-506E025A10DB}"/>
    <dataValidation type="decimal" allowBlank="1" showInputMessage="1" showErrorMessage="1" errorTitle="ERRO" error="- SE ONERADO = 0%_x000a__x000a_- SE DESONERADO = ALÍQUOTA DE 4,5% DA RECEITA BRUTA" promptTitle="COMO PREENCHER:" prompt="- SE ONERADO: 0%_x000a__x000a_- SE DESONERADO: ALÍQUOTA DE 4,5% DA RECEITA BRUTA" sqref="E22" xr:uid="{B737EC41-785F-4776-AEA0-28E27AD3E5AA}">
      <formula1>B22</formula1>
      <formula2>D22</formula2>
    </dataValidation>
    <dataValidation type="decimal" allowBlank="1" showInputMessage="1" showErrorMessage="1" errorTitle="ERRO" error="O VALOR ESTÁ FORA DOS LIMITES ESTABELECIDOS PELO TCU ACÓRDÃO 2622/2013 !" sqref="E14:E21" xr:uid="{5DCB60A5-7C9F-4A3A-B9F4-6B685EE2090E}">
      <formula1>B14</formula1>
      <formula2>D14</formula2>
    </dataValidation>
  </dataValidations>
  <printOptions horizontalCentered="1"/>
  <pageMargins left="1.1811023622047245" right="0.78740157480314965" top="1.1811023622047245" bottom="0.78740157480314965" header="0.51181102362204722" footer="0.51181102362204722"/>
  <pageSetup paperSize="9" scale="76" orientation="portrait" horizontalDpi="4294967293" r:id="rId1"/>
  <headerFooter alignWithMargins="0">
    <oddFooter>&amp;R&amp;P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3CAE-4CD7-495C-A5E6-0C6EBB061ABF}">
  <sheetPr codeName="Planilha2"/>
  <dimension ref="A1:Y18"/>
  <sheetViews>
    <sheetView view="pageBreakPreview" zoomScale="85" zoomScaleNormal="70" zoomScaleSheetLayoutView="85" workbookViewId="0">
      <selection activeCell="A9" sqref="A9"/>
    </sheetView>
  </sheetViews>
  <sheetFormatPr defaultColWidth="9.140625" defaultRowHeight="12.75" x14ac:dyDescent="0.2"/>
  <cols>
    <col min="1" max="1" width="84.85546875" style="8" bestFit="1" customWidth="1"/>
    <col min="2" max="24" width="9.140625" style="8"/>
    <col min="25" max="25" width="11.28515625" style="8" bestFit="1" customWidth="1"/>
    <col min="26" max="16384" width="9.140625" style="8"/>
  </cols>
  <sheetData>
    <row r="1" spans="1:25" x14ac:dyDescent="0.2">
      <c r="A1" s="8" t="s">
        <v>101</v>
      </c>
    </row>
    <row r="2" spans="1:25" x14ac:dyDescent="0.2">
      <c r="A2" s="8" t="s">
        <v>102</v>
      </c>
    </row>
    <row r="3" spans="1:25" x14ac:dyDescent="0.2">
      <c r="A3" s="8" t="s">
        <v>103</v>
      </c>
    </row>
    <row r="5" spans="1:25" x14ac:dyDescent="0.2">
      <c r="A5" s="83"/>
      <c r="B5" s="468" t="s">
        <v>104</v>
      </c>
      <c r="C5" s="468"/>
      <c r="D5" s="468"/>
      <c r="E5" s="468" t="s">
        <v>105</v>
      </c>
      <c r="F5" s="468"/>
      <c r="G5" s="468"/>
      <c r="H5" s="468" t="s">
        <v>106</v>
      </c>
      <c r="I5" s="468"/>
      <c r="J5" s="468"/>
      <c r="K5" s="468" t="s">
        <v>107</v>
      </c>
      <c r="L5" s="468"/>
      <c r="M5" s="468"/>
      <c r="N5" s="468" t="s">
        <v>108</v>
      </c>
      <c r="O5" s="468"/>
      <c r="P5" s="468"/>
      <c r="Q5" s="468" t="s">
        <v>82</v>
      </c>
      <c r="R5" s="468" t="s">
        <v>83</v>
      </c>
      <c r="S5" s="468" t="s">
        <v>109</v>
      </c>
      <c r="T5" s="468"/>
      <c r="U5" s="468"/>
      <c r="V5" s="468" t="s">
        <v>110</v>
      </c>
      <c r="W5" s="468" t="s">
        <v>111</v>
      </c>
      <c r="X5" s="468"/>
      <c r="Y5" s="468"/>
    </row>
    <row r="6" spans="1:25" ht="13.5" thickBot="1" x14ac:dyDescent="0.25">
      <c r="A6" s="83" t="s">
        <v>112</v>
      </c>
      <c r="B6" s="83" t="s">
        <v>113</v>
      </c>
      <c r="C6" s="83" t="s">
        <v>114</v>
      </c>
      <c r="D6" s="83" t="s">
        <v>115</v>
      </c>
      <c r="E6" s="83" t="s">
        <v>113</v>
      </c>
      <c r="F6" s="83" t="s">
        <v>114</v>
      </c>
      <c r="G6" s="83" t="s">
        <v>115</v>
      </c>
      <c r="H6" s="83" t="s">
        <v>113</v>
      </c>
      <c r="I6" s="83" t="s">
        <v>114</v>
      </c>
      <c r="J6" s="83" t="s">
        <v>115</v>
      </c>
      <c r="K6" s="83" t="s">
        <v>113</v>
      </c>
      <c r="L6" s="83" t="s">
        <v>114</v>
      </c>
      <c r="M6" s="83" t="s">
        <v>115</v>
      </c>
      <c r="N6" s="83" t="s">
        <v>113</v>
      </c>
      <c r="O6" s="83" t="s">
        <v>114</v>
      </c>
      <c r="P6" s="83" t="s">
        <v>115</v>
      </c>
      <c r="Q6" s="468"/>
      <c r="R6" s="468"/>
      <c r="S6" s="83" t="s">
        <v>113</v>
      </c>
      <c r="T6" s="83" t="s">
        <v>114</v>
      </c>
      <c r="U6" s="83" t="s">
        <v>115</v>
      </c>
      <c r="V6" s="468"/>
      <c r="W6" s="83" t="s">
        <v>113</v>
      </c>
      <c r="X6" s="83" t="s">
        <v>114</v>
      </c>
      <c r="Y6" s="83" t="s">
        <v>115</v>
      </c>
    </row>
    <row r="7" spans="1:25" ht="16.5" thickBot="1" x14ac:dyDescent="0.3">
      <c r="A7" s="83" t="s">
        <v>116</v>
      </c>
      <c r="B7" s="84">
        <v>3</v>
      </c>
      <c r="C7" s="84">
        <v>4</v>
      </c>
      <c r="D7" s="84">
        <v>5.5</v>
      </c>
      <c r="E7" s="85">
        <v>0.8</v>
      </c>
      <c r="F7" s="85">
        <v>0.8</v>
      </c>
      <c r="G7" s="85">
        <v>1</v>
      </c>
      <c r="H7" s="84">
        <v>0.97</v>
      </c>
      <c r="I7" s="84">
        <v>1.27</v>
      </c>
      <c r="J7" s="84">
        <v>1.27</v>
      </c>
      <c r="K7" s="85">
        <v>0.59</v>
      </c>
      <c r="L7" s="85">
        <v>1.23</v>
      </c>
      <c r="M7" s="85">
        <v>1.39</v>
      </c>
      <c r="N7" s="84">
        <v>6.16</v>
      </c>
      <c r="O7" s="84">
        <v>7.4</v>
      </c>
      <c r="P7" s="84">
        <v>8.9600000000000009</v>
      </c>
      <c r="Q7" s="84">
        <v>3</v>
      </c>
      <c r="R7" s="84">
        <v>0.65</v>
      </c>
      <c r="S7" s="85">
        <v>2</v>
      </c>
      <c r="T7" s="85">
        <f>(S7+U7)/2</f>
        <v>3.5</v>
      </c>
      <c r="U7" s="85">
        <v>5</v>
      </c>
      <c r="V7" s="83">
        <v>2</v>
      </c>
      <c r="W7" s="86">
        <v>20.34</v>
      </c>
      <c r="X7" s="86">
        <v>22.12</v>
      </c>
      <c r="Y7" s="86">
        <v>25</v>
      </c>
    </row>
    <row r="8" spans="1:25" ht="16.5" thickBot="1" x14ac:dyDescent="0.3">
      <c r="A8" s="83" t="s">
        <v>117</v>
      </c>
      <c r="B8" s="84">
        <v>3.8</v>
      </c>
      <c r="C8" s="84">
        <v>4.01</v>
      </c>
      <c r="D8" s="84">
        <v>4.67</v>
      </c>
      <c r="E8" s="85">
        <v>0.32</v>
      </c>
      <c r="F8" s="85">
        <v>0.4</v>
      </c>
      <c r="G8" s="85">
        <v>0.74</v>
      </c>
      <c r="H8" s="84">
        <v>0.5</v>
      </c>
      <c r="I8" s="84">
        <v>0.56000000000000005</v>
      </c>
      <c r="J8" s="84">
        <v>0.97</v>
      </c>
      <c r="K8" s="85">
        <v>1.02</v>
      </c>
      <c r="L8" s="85">
        <v>1.1100000000000001</v>
      </c>
      <c r="M8" s="85">
        <v>1.21</v>
      </c>
      <c r="N8" s="84">
        <v>6.64</v>
      </c>
      <c r="O8" s="84">
        <v>7.3</v>
      </c>
      <c r="P8" s="84">
        <v>8.69</v>
      </c>
      <c r="Q8" s="84">
        <v>3</v>
      </c>
      <c r="R8" s="84">
        <v>0.65</v>
      </c>
      <c r="S8" s="85">
        <v>2</v>
      </c>
      <c r="T8" s="85">
        <f t="shared" ref="T8:T14" si="0">(S8+U8)/2</f>
        <v>3.5</v>
      </c>
      <c r="U8" s="85">
        <v>5</v>
      </c>
      <c r="V8" s="83">
        <v>2</v>
      </c>
      <c r="W8" s="86">
        <v>19.600000000000001</v>
      </c>
      <c r="X8" s="86">
        <v>20.97</v>
      </c>
      <c r="Y8" s="86">
        <v>24.23</v>
      </c>
    </row>
    <row r="9" spans="1:25" ht="16.5" thickBot="1" x14ac:dyDescent="0.3">
      <c r="A9" s="83" t="s">
        <v>69</v>
      </c>
      <c r="B9" s="84">
        <v>3.8</v>
      </c>
      <c r="C9" s="84">
        <v>4.01</v>
      </c>
      <c r="D9" s="84">
        <v>4.67</v>
      </c>
      <c r="E9" s="85">
        <v>0.32</v>
      </c>
      <c r="F9" s="85">
        <v>0.4</v>
      </c>
      <c r="G9" s="85">
        <v>0.74</v>
      </c>
      <c r="H9" s="84">
        <v>0.5</v>
      </c>
      <c r="I9" s="84">
        <v>0.56000000000000005</v>
      </c>
      <c r="J9" s="84">
        <v>0.97</v>
      </c>
      <c r="K9" s="85">
        <v>1.02</v>
      </c>
      <c r="L9" s="85">
        <v>1.1100000000000001</v>
      </c>
      <c r="M9" s="85">
        <v>1.21</v>
      </c>
      <c r="N9" s="84">
        <v>6.64</v>
      </c>
      <c r="O9" s="84">
        <v>7.3</v>
      </c>
      <c r="P9" s="84">
        <v>8.69</v>
      </c>
      <c r="Q9" s="84">
        <v>3</v>
      </c>
      <c r="R9" s="84">
        <v>0.65</v>
      </c>
      <c r="S9" s="85">
        <v>2</v>
      </c>
      <c r="T9" s="85">
        <f>(S9+U9)/2</f>
        <v>3.5</v>
      </c>
      <c r="U9" s="85">
        <v>5</v>
      </c>
      <c r="V9" s="83">
        <v>2</v>
      </c>
      <c r="W9" s="86">
        <v>19.600000000000001</v>
      </c>
      <c r="X9" s="86">
        <v>20.97</v>
      </c>
      <c r="Y9" s="86">
        <v>24.23</v>
      </c>
    </row>
    <row r="10" spans="1:25" ht="16.5" thickBot="1" x14ac:dyDescent="0.3">
      <c r="A10" s="83" t="s">
        <v>118</v>
      </c>
      <c r="B10" s="84">
        <v>3.8</v>
      </c>
      <c r="C10" s="84">
        <v>4.01</v>
      </c>
      <c r="D10" s="84">
        <v>4.67</v>
      </c>
      <c r="E10" s="85">
        <v>0.32</v>
      </c>
      <c r="F10" s="85">
        <v>0.4</v>
      </c>
      <c r="G10" s="85">
        <v>0.74</v>
      </c>
      <c r="H10" s="84">
        <v>0.5</v>
      </c>
      <c r="I10" s="84">
        <v>0.56000000000000005</v>
      </c>
      <c r="J10" s="84">
        <v>0.97</v>
      </c>
      <c r="K10" s="85">
        <v>1.02</v>
      </c>
      <c r="L10" s="85">
        <v>1.1100000000000001</v>
      </c>
      <c r="M10" s="85">
        <v>1.21</v>
      </c>
      <c r="N10" s="84">
        <v>6.64</v>
      </c>
      <c r="O10" s="84">
        <v>7.3</v>
      </c>
      <c r="P10" s="84">
        <v>8.69</v>
      </c>
      <c r="Q10" s="84">
        <v>3</v>
      </c>
      <c r="R10" s="84">
        <v>0.65</v>
      </c>
      <c r="S10" s="85">
        <v>2</v>
      </c>
      <c r="T10" s="85">
        <f t="shared" si="0"/>
        <v>3.5</v>
      </c>
      <c r="U10" s="85">
        <v>5</v>
      </c>
      <c r="V10" s="83">
        <v>2</v>
      </c>
      <c r="W10" s="86">
        <v>19.600000000000001</v>
      </c>
      <c r="X10" s="86">
        <v>20.97</v>
      </c>
      <c r="Y10" s="86">
        <v>24.23</v>
      </c>
    </row>
    <row r="11" spans="1:25" ht="16.5" thickBot="1" x14ac:dyDescent="0.3">
      <c r="A11" s="83" t="s">
        <v>119</v>
      </c>
      <c r="B11" s="84">
        <v>3.43</v>
      </c>
      <c r="C11" s="84">
        <v>4.93</v>
      </c>
      <c r="D11" s="84">
        <v>6.71</v>
      </c>
      <c r="E11" s="85">
        <v>0.28000000000000003</v>
      </c>
      <c r="F11" s="85">
        <v>0.49</v>
      </c>
      <c r="G11" s="85">
        <v>0.75</v>
      </c>
      <c r="H11" s="84">
        <v>1</v>
      </c>
      <c r="I11" s="84">
        <v>1.39</v>
      </c>
      <c r="J11" s="84">
        <v>1.74</v>
      </c>
      <c r="K11" s="85">
        <v>0.94</v>
      </c>
      <c r="L11" s="85">
        <v>0.99</v>
      </c>
      <c r="M11" s="85">
        <v>1.17</v>
      </c>
      <c r="N11" s="84">
        <v>6.74</v>
      </c>
      <c r="O11" s="84">
        <v>8.0399999999999991</v>
      </c>
      <c r="P11" s="84">
        <v>9.4</v>
      </c>
      <c r="Q11" s="84">
        <v>3</v>
      </c>
      <c r="R11" s="84">
        <v>0.65</v>
      </c>
      <c r="S11" s="85">
        <v>2</v>
      </c>
      <c r="T11" s="85">
        <f t="shared" si="0"/>
        <v>3.5</v>
      </c>
      <c r="U11" s="85">
        <v>5</v>
      </c>
      <c r="V11" s="83">
        <v>2</v>
      </c>
      <c r="W11" s="86">
        <v>20.76</v>
      </c>
      <c r="X11" s="86">
        <v>24.18</v>
      </c>
      <c r="Y11" s="86">
        <v>26.44</v>
      </c>
    </row>
    <row r="12" spans="1:25" ht="16.5" thickBot="1" x14ac:dyDescent="0.3">
      <c r="A12" s="83" t="s">
        <v>120</v>
      </c>
      <c r="B12" s="84">
        <v>5.29</v>
      </c>
      <c r="C12" s="84">
        <v>5.92</v>
      </c>
      <c r="D12" s="84">
        <v>7.93</v>
      </c>
      <c r="E12" s="85">
        <v>0.25</v>
      </c>
      <c r="F12" s="85">
        <v>0.51</v>
      </c>
      <c r="G12" s="85">
        <v>0.56000000000000005</v>
      </c>
      <c r="H12" s="84">
        <v>1</v>
      </c>
      <c r="I12" s="84">
        <v>1.48</v>
      </c>
      <c r="J12" s="84">
        <v>1.97</v>
      </c>
      <c r="K12" s="85">
        <v>1.01</v>
      </c>
      <c r="L12" s="85">
        <v>1.07</v>
      </c>
      <c r="M12" s="85">
        <v>1.1100000000000001</v>
      </c>
      <c r="N12" s="84">
        <v>8</v>
      </c>
      <c r="O12" s="84">
        <v>8.31</v>
      </c>
      <c r="P12" s="84">
        <v>9.51</v>
      </c>
      <c r="Q12" s="84">
        <v>3</v>
      </c>
      <c r="R12" s="84">
        <v>0.65</v>
      </c>
      <c r="S12" s="85">
        <v>2</v>
      </c>
      <c r="T12" s="85">
        <f t="shared" si="0"/>
        <v>3.5</v>
      </c>
      <c r="U12" s="85">
        <v>5</v>
      </c>
      <c r="V12" s="83">
        <v>2</v>
      </c>
      <c r="W12" s="86">
        <v>24</v>
      </c>
      <c r="X12" s="86">
        <v>25.84</v>
      </c>
      <c r="Y12" s="86">
        <v>27.86</v>
      </c>
    </row>
    <row r="13" spans="1:25" ht="16.5" thickBot="1" x14ac:dyDescent="0.3">
      <c r="A13" s="83" t="s">
        <v>121</v>
      </c>
      <c r="B13" s="84">
        <v>4</v>
      </c>
      <c r="C13" s="84">
        <v>5.52</v>
      </c>
      <c r="D13" s="84">
        <v>7.85</v>
      </c>
      <c r="E13" s="85">
        <v>0.81</v>
      </c>
      <c r="F13" s="85">
        <v>1.22</v>
      </c>
      <c r="G13" s="85">
        <v>1.99</v>
      </c>
      <c r="H13" s="84">
        <v>1.46</v>
      </c>
      <c r="I13" s="84">
        <v>2.3199999999999998</v>
      </c>
      <c r="J13" s="84">
        <v>3.16</v>
      </c>
      <c r="K13" s="85">
        <v>0.94</v>
      </c>
      <c r="L13" s="85">
        <v>1.02</v>
      </c>
      <c r="M13" s="85">
        <v>1.33</v>
      </c>
      <c r="N13" s="84">
        <v>7.14</v>
      </c>
      <c r="O13" s="84">
        <v>8.4</v>
      </c>
      <c r="P13" s="84">
        <v>10.43</v>
      </c>
      <c r="Q13" s="84">
        <v>3</v>
      </c>
      <c r="R13" s="84">
        <v>0.65</v>
      </c>
      <c r="S13" s="85">
        <v>2</v>
      </c>
      <c r="T13" s="85">
        <f t="shared" si="0"/>
        <v>3.5</v>
      </c>
      <c r="U13" s="85">
        <v>5</v>
      </c>
      <c r="V13" s="83">
        <v>2</v>
      </c>
      <c r="W13" s="86">
        <v>22.8</v>
      </c>
      <c r="X13" s="86">
        <v>27.48</v>
      </c>
      <c r="Y13" s="86">
        <v>30.95</v>
      </c>
    </row>
    <row r="14" spans="1:25" ht="16.5" thickBot="1" x14ac:dyDescent="0.3">
      <c r="A14" s="83" t="s">
        <v>122</v>
      </c>
      <c r="B14" s="84">
        <v>1.5</v>
      </c>
      <c r="C14" s="84">
        <v>3.45</v>
      </c>
      <c r="D14" s="84">
        <v>4.49</v>
      </c>
      <c r="E14" s="85">
        <v>0.3</v>
      </c>
      <c r="F14" s="85">
        <v>0.48</v>
      </c>
      <c r="G14" s="85">
        <v>0.82</v>
      </c>
      <c r="H14" s="84">
        <v>0.56000000000000005</v>
      </c>
      <c r="I14" s="84">
        <v>0.85</v>
      </c>
      <c r="J14" s="84">
        <v>0.89</v>
      </c>
      <c r="K14" s="85">
        <v>0.85</v>
      </c>
      <c r="L14" s="85">
        <v>0.85</v>
      </c>
      <c r="M14" s="85">
        <v>1.1100000000000001</v>
      </c>
      <c r="N14" s="84">
        <v>3.5</v>
      </c>
      <c r="O14" s="84">
        <v>5.1100000000000003</v>
      </c>
      <c r="P14" s="84">
        <v>6.22</v>
      </c>
      <c r="Q14" s="84">
        <v>3</v>
      </c>
      <c r="R14" s="84">
        <v>0.65</v>
      </c>
      <c r="S14" s="85">
        <v>2</v>
      </c>
      <c r="T14" s="85">
        <f t="shared" si="0"/>
        <v>3.5</v>
      </c>
      <c r="U14" s="85">
        <v>5</v>
      </c>
      <c r="V14" s="83">
        <v>2</v>
      </c>
      <c r="W14" s="86">
        <v>11.1</v>
      </c>
      <c r="X14" s="86">
        <v>14.02</v>
      </c>
      <c r="Y14" s="86">
        <v>16.8</v>
      </c>
    </row>
    <row r="17" spans="2:12" ht="12.75" customHeight="1" x14ac:dyDescent="0.2">
      <c r="B17" s="469"/>
      <c r="C17" s="469"/>
      <c r="D17" s="469"/>
      <c r="F17" s="469"/>
      <c r="G17" s="469"/>
      <c r="H17" s="469"/>
      <c r="J17" s="469"/>
      <c r="K17" s="469"/>
      <c r="L17" s="469"/>
    </row>
    <row r="18" spans="2:12" x14ac:dyDescent="0.2">
      <c r="B18" s="469"/>
      <c r="C18" s="469"/>
      <c r="D18" s="469"/>
      <c r="F18" s="469"/>
      <c r="G18" s="469"/>
      <c r="H18" s="469"/>
      <c r="J18" s="469"/>
      <c r="K18" s="469"/>
      <c r="L18" s="469"/>
    </row>
  </sheetData>
  <sheetProtection password="D921" sheet="1" formatCells="0" formatColumns="0" formatRows="0" insertColumns="0" insertRows="0" insertHyperlinks="0" deleteColumns="0" deleteRows="0" sort="0" autoFilter="0" pivotTables="0"/>
  <mergeCells count="13">
    <mergeCell ref="W5:Y5"/>
    <mergeCell ref="B17:D18"/>
    <mergeCell ref="F17:H18"/>
    <mergeCell ref="J17:L18"/>
    <mergeCell ref="B5:D5"/>
    <mergeCell ref="E5:G5"/>
    <mergeCell ref="H5:J5"/>
    <mergeCell ref="K5:M5"/>
    <mergeCell ref="N5:P5"/>
    <mergeCell ref="Q5:Q6"/>
    <mergeCell ref="R5:R6"/>
    <mergeCell ref="S5:U5"/>
    <mergeCell ref="V5:V6"/>
  </mergeCells>
  <pageMargins left="0.78740157499999996" right="0.78740157499999996" top="0.984251969" bottom="0.984251969" header="0.49212598499999999" footer="0.49212598499999999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12</vt:i4>
      </vt:variant>
    </vt:vector>
  </HeadingPairs>
  <TitlesOfParts>
    <vt:vector size="19" baseType="lpstr">
      <vt:lpstr>MEM</vt:lpstr>
      <vt:lpstr>PLAN</vt:lpstr>
      <vt:lpstr>CRON1</vt:lpstr>
      <vt:lpstr>CRON2</vt:lpstr>
      <vt:lpstr>FOTOS</vt:lpstr>
      <vt:lpstr>BDI</vt:lpstr>
      <vt:lpstr>BDI-Dados</vt:lpstr>
      <vt:lpstr>BDI!Area_de_impressao</vt:lpstr>
      <vt:lpstr>CRON1!Area_de_impressao</vt:lpstr>
      <vt:lpstr>CRON2!Area_de_impressao</vt:lpstr>
      <vt:lpstr>FOTOS!Area_de_impressao</vt:lpstr>
      <vt:lpstr>MEM!Area_de_impressao</vt:lpstr>
      <vt:lpstr>PLAN!Area_de_impressao</vt:lpstr>
      <vt:lpstr>FOTOS!Print_Area</vt:lpstr>
      <vt:lpstr>FOTOS!Print_Titles</vt:lpstr>
      <vt:lpstr>sigla_obras</vt:lpstr>
      <vt:lpstr>sigla_sn</vt:lpstr>
      <vt:lpstr>MEM!Titulos_de_impressao</vt:lpstr>
      <vt:lpstr>PLAN!Titulos_de_impressao</vt:lpstr>
    </vt:vector>
  </TitlesOfParts>
  <Company>Setop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informatiza informatiza</cp:lastModifiedBy>
  <cp:lastPrinted>2026-09-02T13:47:34Z</cp:lastPrinted>
  <dcterms:created xsi:type="dcterms:W3CDTF">2006-09-22T13:55:22Z</dcterms:created>
  <dcterms:modified xsi:type="dcterms:W3CDTF">2026-09-21T14:05:00Z</dcterms:modified>
</cp:coreProperties>
</file>